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20" windowHeight="4245" tabRatio="601" firstSheet="2" activeTab="2"/>
  </bookViews>
  <sheets>
    <sheet name="Stat Q case1" sheetId="1" r:id="rId1"/>
    <sheet name="Stat Q case 2" sheetId="2" r:id="rId2"/>
    <sheet name="Sheet1" sheetId="3" r:id="rId3"/>
  </sheets>
  <definedNames>
    <definedName name="_xlnm.Print_Area" localSheetId="2">'Sheet1'!$A$1:$E$66</definedName>
    <definedName name="_xlnm.Print_Area" localSheetId="1">'Stat Q case 2'!$A$1:$G$30</definedName>
    <definedName name="_xlnm.Print_Area" localSheetId="0">'Stat Q case1'!$A$1:$G$34</definedName>
    <definedName name="_xlnm.Print_Titles" localSheetId="2">'Sheet1'!$1:$4</definedName>
    <definedName name="_xlnm.Print_Titles" localSheetId="1">'Stat Q case 2'!$1:$5</definedName>
    <definedName name="_xlnm.Print_Titles" localSheetId="0">'Stat Q case1'!$1:$6</definedName>
  </definedNames>
  <calcPr fullCalcOnLoad="1"/>
</workbook>
</file>

<file path=xl/sharedStrings.xml><?xml version="1.0" encoding="utf-8"?>
<sst xmlns="http://schemas.openxmlformats.org/spreadsheetml/2006/main" count="212" uniqueCount="97">
  <si>
    <t>Statement of Stores Losses</t>
  </si>
  <si>
    <t>Period</t>
  </si>
  <si>
    <t>Books &amp; Publications</t>
  </si>
  <si>
    <t>Spare Parts &amp; Accessories</t>
  </si>
  <si>
    <t>Others</t>
  </si>
  <si>
    <t>Civil Aviation</t>
  </si>
  <si>
    <t>Rodrigues</t>
  </si>
  <si>
    <t>Fire Services</t>
  </si>
  <si>
    <t>Postal Services</t>
  </si>
  <si>
    <t>Judicial</t>
  </si>
  <si>
    <t>National Development Unit</t>
  </si>
  <si>
    <t>Ministry of Fisheries</t>
  </si>
  <si>
    <t>Valuation Department</t>
  </si>
  <si>
    <t>Ministry of arts and Culture</t>
  </si>
  <si>
    <t>Ministry of Environment</t>
  </si>
  <si>
    <t>Reform Institutions</t>
  </si>
  <si>
    <t>Local Government service Commission</t>
  </si>
  <si>
    <t>Prisons</t>
  </si>
  <si>
    <t>Public and Disciplined Forces Services Commissions</t>
  </si>
  <si>
    <t>Ministry of Tourism</t>
  </si>
  <si>
    <t>Ministry of Local Government and Rodrigues</t>
  </si>
  <si>
    <t>Ministry of Labour &amp; Industrial Relations</t>
  </si>
  <si>
    <t>Ministry of Commerce &amp; Co-operatives</t>
  </si>
  <si>
    <t>Co-operatives</t>
  </si>
  <si>
    <t>Police Department</t>
  </si>
  <si>
    <t>Ministry of Youth and Sports</t>
  </si>
  <si>
    <t xml:space="preserve">    STATEMENT Q</t>
  </si>
  <si>
    <t xml:space="preserve"> </t>
  </si>
  <si>
    <t>Total Values (Rs)</t>
  </si>
  <si>
    <t xml:space="preserve">Office Equipment &amp; Furniture </t>
  </si>
  <si>
    <t>STATEMENT Q</t>
  </si>
  <si>
    <t>Remarks</t>
  </si>
  <si>
    <t>Ministry/Department</t>
  </si>
  <si>
    <t>Ministry of Agriculture, Food Technology and Natural Resources</t>
  </si>
  <si>
    <t>In Action</t>
  </si>
  <si>
    <t>Refunded</t>
  </si>
  <si>
    <t>Ministry of Public Infrastructure and Land Transport</t>
  </si>
  <si>
    <t>Write Off</t>
  </si>
  <si>
    <t>Ministry Of Education &amp; Scientific Research</t>
  </si>
  <si>
    <t>Ministry Of Finance &amp; Economic Development</t>
  </si>
  <si>
    <t>Ministry Of Labour &amp; I R</t>
  </si>
  <si>
    <t>Social security, National Solidarity &amp; Senior Citizen Welfare and Reform Institutions</t>
  </si>
  <si>
    <t>1983 to 2004</t>
  </si>
  <si>
    <t>1990 to 2004</t>
  </si>
  <si>
    <t>1977 to 2004</t>
  </si>
  <si>
    <t>1978 to 2004</t>
  </si>
  <si>
    <t>1994 to 2004</t>
  </si>
  <si>
    <t>1993 to 2004</t>
  </si>
  <si>
    <t>1996 to 2004</t>
  </si>
  <si>
    <t>1997 to 2004</t>
  </si>
  <si>
    <t>1999 to 2004</t>
  </si>
  <si>
    <t>2000 to 2004</t>
  </si>
  <si>
    <t>2001 to 2004</t>
  </si>
  <si>
    <t>2002 to 2004</t>
  </si>
  <si>
    <t>2003 to 2004</t>
  </si>
  <si>
    <t>Value Added Tax</t>
  </si>
  <si>
    <t>Ministry of Housing and Lands</t>
  </si>
  <si>
    <t>Ministry of Training Skills Development, Productivity and External Communications</t>
  </si>
  <si>
    <t>Closed</t>
  </si>
  <si>
    <t>22 September, 2005</t>
  </si>
  <si>
    <t>J. VALAYTHEN</t>
  </si>
  <si>
    <t>Accountant- General</t>
  </si>
  <si>
    <t>Agricultural Products</t>
  </si>
  <si>
    <t>Office Equipment &amp; Furnitures</t>
  </si>
  <si>
    <t>Small &amp; Medium Enterprises, Handicraft &amp; In Formal Sector</t>
  </si>
  <si>
    <t>Fire services</t>
  </si>
  <si>
    <t>Ministry Of Shipping, Rodrigues and Outer Islands</t>
  </si>
  <si>
    <t>Ministry of Local Government</t>
  </si>
  <si>
    <t>Ministry Of Skills Development,Productivity and External Communications</t>
  </si>
  <si>
    <t>Ministry Of Housing anf Lands</t>
  </si>
  <si>
    <t>Statement Of Losses</t>
  </si>
  <si>
    <t>Accountant General</t>
  </si>
  <si>
    <t>Ministry Of Fisheries</t>
  </si>
  <si>
    <t>1 - CASES REPORTED DURING PREVIOUS FINANCIAL YEARS ON WHICH ACTION WAS NOT COMPLETED AT 30 JUNE, 2005</t>
  </si>
  <si>
    <t>Ministry of Education and Scientific Research</t>
  </si>
  <si>
    <t>Ministry of Agriculture, Food Technology &amp; N R</t>
  </si>
  <si>
    <t>Ministry of Health and Quality of Life</t>
  </si>
  <si>
    <t>Ministry of Public Infrastructure Land Transport and Shipping</t>
  </si>
  <si>
    <t>2 - CASES REPORTED DURING FINANCIAL YEAR 2004/2005</t>
  </si>
  <si>
    <t>Statement of Stores Losses as at 30 June 2005</t>
  </si>
  <si>
    <t>Ministry of Arts and Culture</t>
  </si>
  <si>
    <t>Local Government Service Commission</t>
  </si>
  <si>
    <t>Ministry of Tourism and Leisure</t>
  </si>
  <si>
    <t>Ministry of Local Government and Solid Waste Management</t>
  </si>
  <si>
    <t>Ministry of Labour,Industrial Relations and Employment</t>
  </si>
  <si>
    <t>Ministry of Commerce and Cooperatives</t>
  </si>
  <si>
    <t>Ministry of Finance &amp; Economic Development</t>
  </si>
  <si>
    <t>Ministry of Social Security, National Solidarity &amp; Senior Citizen Welfare and Reform Institutions</t>
  </si>
  <si>
    <t>Small &amp; Medium Enterprises, Handicraft &amp; Informal Sector</t>
  </si>
  <si>
    <t>July 2004 to June 2005</t>
  </si>
  <si>
    <t>Item</t>
  </si>
  <si>
    <t>Up to June 2004</t>
  </si>
  <si>
    <t>Total Value</t>
  </si>
  <si>
    <t>Office Equipment &amp; Furniture</t>
  </si>
  <si>
    <t>Agricultural Produce</t>
  </si>
  <si>
    <t>Total Amount</t>
  </si>
  <si>
    <t>Ministry of Shipping, Rodrigues and Outer Islands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</si>
</sst>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&quot;Rs.&quot;* #,##0.00_-;\-&quot;Rs.&quot;* #,##0.00_-;_-&quot;Rs.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b/>
      <i/>
      <sz val="11"/>
      <name val="Arial"/>
      <family val="2"/>
    </font>
    <font>
      <b/>
      <sz val="10"/>
      <name val="Arial Narrow"/>
      <family val="2"/>
    </font>
    <font>
      <b/>
      <i/>
      <sz val="12"/>
      <name val="Monotype Corsiva"/>
      <family val="4"/>
    </font>
    <font>
      <b/>
      <sz val="10"/>
      <name val="Comic Sans MS"/>
      <family val="4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Book Antiqua"/>
      <family val="1"/>
    </font>
    <font>
      <sz val="10"/>
      <name val="Book Antiqua"/>
      <family val="1"/>
    </font>
    <font>
      <b/>
      <i/>
      <sz val="10"/>
      <name val="Arial Narrow"/>
      <family val="2"/>
    </font>
    <font>
      <b/>
      <u val="single"/>
      <sz val="12"/>
      <name val="Book Antiqua"/>
      <family val="1"/>
    </font>
    <font>
      <b/>
      <sz val="9"/>
      <name val="Fixedsys"/>
      <family val="3"/>
    </font>
    <font>
      <b/>
      <sz val="10"/>
      <name val="Fixedsys"/>
      <family val="3"/>
    </font>
    <font>
      <b/>
      <sz val="12"/>
      <name val="Fixedsys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12"/>
      <name val="Arial Narrow"/>
      <family val="2"/>
    </font>
    <font>
      <b/>
      <i/>
      <sz val="11"/>
      <name val="Arial Narrow"/>
      <family val="2"/>
    </font>
    <font>
      <i/>
      <sz val="16"/>
      <name val="Monotype Corsiva"/>
      <family val="0"/>
    </font>
  </fonts>
  <fills count="3">
    <fill>
      <patternFill/>
    </fill>
    <fill>
      <patternFill patternType="gray125"/>
    </fill>
    <fill>
      <patternFill patternType="gray0625"/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wrapText="1"/>
    </xf>
    <xf numFmtId="177" fontId="0" fillId="0" borderId="0" xfId="15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77" fontId="0" fillId="0" borderId="1" xfId="15" applyBorder="1" applyAlignment="1">
      <alignment/>
    </xf>
    <xf numFmtId="0" fontId="0" fillId="0" borderId="1" xfId="0" applyBorder="1" applyAlignment="1">
      <alignment horizontal="center"/>
    </xf>
    <xf numFmtId="0" fontId="7" fillId="1" borderId="0" xfId="0" applyFont="1" applyFill="1" applyAlignment="1">
      <alignment/>
    </xf>
    <xf numFmtId="0" fontId="0" fillId="0" borderId="2" xfId="0" applyBorder="1" applyAlignment="1">
      <alignment horizontal="center"/>
    </xf>
    <xf numFmtId="177" fontId="0" fillId="0" borderId="2" xfId="15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77" fontId="0" fillId="0" borderId="0" xfId="15" applyBorder="1" applyAlignment="1">
      <alignment/>
    </xf>
    <xf numFmtId="0" fontId="1" fillId="0" borderId="0" xfId="0" applyFont="1" applyAlignment="1">
      <alignment wrapText="1"/>
    </xf>
    <xf numFmtId="0" fontId="0" fillId="0" borderId="3" xfId="0" applyBorder="1" applyAlignment="1">
      <alignment/>
    </xf>
    <xf numFmtId="0" fontId="3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 horizontal="center"/>
    </xf>
    <xf numFmtId="0" fontId="3" fillId="0" borderId="6" xfId="0" applyFont="1" applyBorder="1" applyAlignment="1">
      <alignment wrapText="1"/>
    </xf>
    <xf numFmtId="177" fontId="1" fillId="0" borderId="7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/>
    </xf>
    <xf numFmtId="177" fontId="0" fillId="0" borderId="11" xfId="15" applyBorder="1" applyAlignment="1">
      <alignment/>
    </xf>
    <xf numFmtId="177" fontId="1" fillId="0" borderId="12" xfId="0" applyNumberFormat="1" applyFont="1" applyBorder="1" applyAlignment="1">
      <alignment/>
    </xf>
    <xf numFmtId="0" fontId="6" fillId="1" borderId="13" xfId="0" applyFont="1" applyFill="1" applyBorder="1" applyAlignment="1">
      <alignment horizontal="center" vertical="center" wrapText="1"/>
    </xf>
    <xf numFmtId="0" fontId="6" fillId="1" borderId="14" xfId="0" applyFont="1" applyFill="1" applyBorder="1" applyAlignment="1">
      <alignment horizontal="center" vertical="center" wrapText="1"/>
    </xf>
    <xf numFmtId="0" fontId="6" fillId="1" borderId="15" xfId="0" applyFont="1" applyFill="1" applyBorder="1" applyAlignment="1">
      <alignment horizontal="center" vertical="center" wrapText="1"/>
    </xf>
    <xf numFmtId="177" fontId="1" fillId="0" borderId="7" xfId="15" applyFont="1" applyBorder="1" applyAlignment="1">
      <alignment/>
    </xf>
    <xf numFmtId="177" fontId="1" fillId="0" borderId="8" xfId="15" applyFont="1" applyBorder="1" applyAlignment="1">
      <alignment/>
    </xf>
    <xf numFmtId="0" fontId="0" fillId="0" borderId="11" xfId="0" applyBorder="1" applyAlignment="1">
      <alignment horizontal="center"/>
    </xf>
    <xf numFmtId="177" fontId="1" fillId="0" borderId="12" xfId="15" applyFont="1" applyBorder="1" applyAlignment="1">
      <alignment/>
    </xf>
    <xf numFmtId="0" fontId="1" fillId="1" borderId="13" xfId="0" applyFont="1" applyFill="1" applyBorder="1" applyAlignment="1">
      <alignment horizontal="center" vertical="center" wrapText="1"/>
    </xf>
    <xf numFmtId="0" fontId="1" fillId="1" borderId="14" xfId="0" applyFont="1" applyFill="1" applyBorder="1" applyAlignment="1">
      <alignment horizontal="center" vertical="center"/>
    </xf>
    <xf numFmtId="0" fontId="1" fillId="1" borderId="14" xfId="0" applyFont="1" applyFill="1" applyBorder="1" applyAlignment="1">
      <alignment horizontal="center" vertical="center" wrapText="1"/>
    </xf>
    <xf numFmtId="0" fontId="1" fillId="1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6" fillId="1" borderId="1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6" fillId="1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0" fillId="0" borderId="0" xfId="0" applyFill="1" applyBorder="1" applyAlignment="1">
      <alignment horizontal="left"/>
    </xf>
    <xf numFmtId="177" fontId="0" fillId="0" borderId="0" xfId="15" applyAlignment="1">
      <alignment horizontal="left"/>
    </xf>
    <xf numFmtId="0" fontId="3" fillId="0" borderId="18" xfId="0" applyFont="1" applyBorder="1" applyAlignment="1">
      <alignment vertical="center" wrapText="1"/>
    </xf>
    <xf numFmtId="0" fontId="6" fillId="1" borderId="2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177" fontId="0" fillId="0" borderId="0" xfId="0" applyNumberFormat="1" applyAlignment="1">
      <alignment/>
    </xf>
    <xf numFmtId="0" fontId="17" fillId="1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177" fontId="18" fillId="0" borderId="23" xfId="15" applyFont="1" applyBorder="1" applyAlignment="1">
      <alignment/>
    </xf>
    <xf numFmtId="177" fontId="18" fillId="0" borderId="24" xfId="15" applyFont="1" applyBorder="1" applyAlignment="1">
      <alignment/>
    </xf>
    <xf numFmtId="177" fontId="18" fillId="0" borderId="25" xfId="15" applyFont="1" applyBorder="1" applyAlignment="1">
      <alignment/>
    </xf>
    <xf numFmtId="177" fontId="18" fillId="0" borderId="26" xfId="15" applyFont="1" applyBorder="1" applyAlignment="1">
      <alignment/>
    </xf>
    <xf numFmtId="177" fontId="18" fillId="0" borderId="27" xfId="15" applyFont="1" applyBorder="1" applyAlignment="1">
      <alignment/>
    </xf>
    <xf numFmtId="177" fontId="18" fillId="0" borderId="28" xfId="15" applyFont="1" applyBorder="1" applyAlignment="1">
      <alignment/>
    </xf>
    <xf numFmtId="177" fontId="18" fillId="0" borderId="18" xfId="15" applyFont="1" applyBorder="1" applyAlignment="1">
      <alignment/>
    </xf>
    <xf numFmtId="177" fontId="18" fillId="0" borderId="17" xfId="15" applyFont="1" applyBorder="1" applyAlignment="1">
      <alignment/>
    </xf>
    <xf numFmtId="177" fontId="18" fillId="0" borderId="16" xfId="15" applyFont="1" applyBorder="1" applyAlignment="1">
      <alignment/>
    </xf>
    <xf numFmtId="177" fontId="0" fillId="0" borderId="29" xfId="15" applyFont="1" applyBorder="1" applyAlignment="1">
      <alignment/>
    </xf>
    <xf numFmtId="177" fontId="0" fillId="0" borderId="0" xfId="15" applyFont="1" applyBorder="1" applyAlignment="1">
      <alignment/>
    </xf>
    <xf numFmtId="177" fontId="0" fillId="0" borderId="0" xfId="15" applyFont="1" applyAlignment="1">
      <alignment/>
    </xf>
    <xf numFmtId="177" fontId="17" fillId="0" borderId="0" xfId="15" applyFont="1" applyAlignment="1">
      <alignment horizontal="center"/>
    </xf>
    <xf numFmtId="177" fontId="0" fillId="0" borderId="0" xfId="15" applyFont="1" applyAlignment="1">
      <alignment/>
    </xf>
    <xf numFmtId="177" fontId="19" fillId="2" borderId="0" xfId="15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3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77" fontId="1" fillId="0" borderId="19" xfId="15" applyFont="1" applyBorder="1" applyAlignment="1">
      <alignment horizontal="center"/>
    </xf>
    <xf numFmtId="177" fontId="1" fillId="0" borderId="33" xfId="15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horizontal="left"/>
    </xf>
    <xf numFmtId="0" fontId="17" fillId="0" borderId="38" xfId="0" applyFont="1" applyBorder="1" applyAlignment="1">
      <alignment horizontal="left"/>
    </xf>
    <xf numFmtId="0" fontId="17" fillId="0" borderId="39" xfId="0" applyFont="1" applyBorder="1" applyAlignment="1">
      <alignment horizontal="left"/>
    </xf>
    <xf numFmtId="0" fontId="17" fillId="0" borderId="40" xfId="0" applyFont="1" applyBorder="1" applyAlignment="1">
      <alignment horizontal="left"/>
    </xf>
    <xf numFmtId="0" fontId="17" fillId="0" borderId="41" xfId="0" applyFont="1" applyBorder="1" applyAlignment="1">
      <alignment horizontal="left"/>
    </xf>
    <xf numFmtId="0" fontId="17" fillId="0" borderId="42" xfId="0" applyFont="1" applyBorder="1" applyAlignment="1">
      <alignment horizontal="left"/>
    </xf>
    <xf numFmtId="0" fontId="17" fillId="0" borderId="43" xfId="0" applyFont="1" applyBorder="1" applyAlignment="1">
      <alignment horizontal="left"/>
    </xf>
    <xf numFmtId="0" fontId="17" fillId="0" borderId="44" xfId="0" applyFont="1" applyBorder="1" applyAlignment="1">
      <alignment horizontal="left"/>
    </xf>
    <xf numFmtId="0" fontId="17" fillId="0" borderId="45" xfId="0" applyFont="1" applyBorder="1" applyAlignment="1">
      <alignment horizontal="left"/>
    </xf>
    <xf numFmtId="0" fontId="17" fillId="0" borderId="46" xfId="0" applyFont="1" applyBorder="1" applyAlignment="1">
      <alignment horizontal="left"/>
    </xf>
    <xf numFmtId="177" fontId="0" fillId="0" borderId="47" xfId="15" applyBorder="1" applyAlignment="1">
      <alignment/>
    </xf>
    <xf numFmtId="177" fontId="0" fillId="0" borderId="48" xfId="15" applyBorder="1" applyAlignment="1">
      <alignment/>
    </xf>
    <xf numFmtId="177" fontId="0" fillId="0" borderId="49" xfId="15" applyBorder="1" applyAlignment="1">
      <alignment/>
    </xf>
    <xf numFmtId="177" fontId="0" fillId="0" borderId="50" xfId="15" applyBorder="1" applyAlignment="1">
      <alignment/>
    </xf>
    <xf numFmtId="177" fontId="0" fillId="0" borderId="51" xfId="15" applyBorder="1" applyAlignment="1">
      <alignment/>
    </xf>
    <xf numFmtId="177" fontId="0" fillId="0" borderId="52" xfId="15" applyBorder="1" applyAlignment="1">
      <alignment/>
    </xf>
    <xf numFmtId="177" fontId="0" fillId="0" borderId="53" xfId="15" applyBorder="1" applyAlignment="1">
      <alignment/>
    </xf>
    <xf numFmtId="177" fontId="0" fillId="0" borderId="54" xfId="15" applyBorder="1" applyAlignment="1">
      <alignment/>
    </xf>
    <xf numFmtId="177" fontId="0" fillId="0" borderId="55" xfId="15" applyBorder="1" applyAlignment="1">
      <alignment/>
    </xf>
    <xf numFmtId="177" fontId="0" fillId="0" borderId="56" xfId="15" applyBorder="1" applyAlignment="1">
      <alignment/>
    </xf>
    <xf numFmtId="177" fontId="0" fillId="0" borderId="57" xfId="15" applyBorder="1" applyAlignment="1">
      <alignment/>
    </xf>
    <xf numFmtId="177" fontId="0" fillId="0" borderId="58" xfId="15" applyBorder="1" applyAlignment="1">
      <alignment/>
    </xf>
    <xf numFmtId="177" fontId="0" fillId="0" borderId="8" xfId="15" applyBorder="1" applyAlignment="1">
      <alignment/>
    </xf>
    <xf numFmtId="177" fontId="0" fillId="0" borderId="7" xfId="15" applyBorder="1" applyAlignment="1">
      <alignment/>
    </xf>
    <xf numFmtId="177" fontId="0" fillId="0" borderId="12" xfId="15" applyBorder="1" applyAlignment="1">
      <alignment/>
    </xf>
    <xf numFmtId="177" fontId="0" fillId="0" borderId="59" xfId="15" applyBorder="1" applyAlignment="1">
      <alignment/>
    </xf>
    <xf numFmtId="177" fontId="0" fillId="0" borderId="60" xfId="15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38</xdr:row>
      <xdr:rowOff>38100</xdr:rowOff>
    </xdr:from>
    <xdr:ext cx="142875" cy="247650"/>
    <xdr:sp>
      <xdr:nvSpPr>
        <xdr:cNvPr id="1" name="TextBox 3"/>
        <xdr:cNvSpPr txBox="1">
          <a:spLocks noChangeArrowheads="1"/>
        </xdr:cNvSpPr>
      </xdr:nvSpPr>
      <xdr:spPr>
        <a:xfrm>
          <a:off x="6267450" y="15744825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Fixedsys"/>
              <a:ea typeface="Fixedsys"/>
              <a:cs typeface="Fixedsys"/>
            </a:rPr>
            <a:t>C</a:t>
          </a:r>
          <a:r>
            <a:rPr lang="en-US" cap="none" sz="1000" b="1" i="0" u="none" baseline="0">
              <a:latin typeface="Fixedsys"/>
              <a:ea typeface="Fixedsys"/>
              <a:cs typeface="Fixedsys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35">
      <selection activeCell="B9" sqref="B9"/>
    </sheetView>
  </sheetViews>
  <sheetFormatPr defaultColWidth="9.140625" defaultRowHeight="12.75"/>
  <cols>
    <col min="1" max="1" width="29.8515625" style="0" customWidth="1"/>
    <col min="2" max="2" width="18.140625" style="0" customWidth="1"/>
    <col min="3" max="3" width="18.8515625" style="0" customWidth="1"/>
    <col min="4" max="4" width="17.140625" style="0" customWidth="1"/>
    <col min="5" max="5" width="16.7109375" style="0" customWidth="1"/>
    <col min="6" max="6" width="14.140625" style="0" customWidth="1"/>
    <col min="7" max="7" width="20.421875" style="0" customWidth="1"/>
  </cols>
  <sheetData>
    <row r="1" spans="1:8" ht="14.25" thickBot="1" thickTop="1">
      <c r="A1" s="4" t="s">
        <v>27</v>
      </c>
      <c r="G1" s="25" t="s">
        <v>26</v>
      </c>
      <c r="H1" s="3" t="s">
        <v>27</v>
      </c>
    </row>
    <row r="2" spans="1:9" ht="22.5" customHeight="1" thickTop="1">
      <c r="A2" s="79" t="s">
        <v>0</v>
      </c>
      <c r="B2" s="79"/>
      <c r="C2" s="79"/>
      <c r="D2" s="79"/>
      <c r="E2" s="79"/>
      <c r="F2" s="79"/>
      <c r="G2" s="79"/>
      <c r="H2" s="5"/>
      <c r="I2" s="5"/>
    </row>
    <row r="3" spans="1:9" ht="11.25" customHeight="1">
      <c r="A3" s="5"/>
      <c r="B3" s="5"/>
      <c r="C3" s="5"/>
      <c r="D3" s="5"/>
      <c r="E3" s="5"/>
      <c r="F3" s="5"/>
      <c r="G3" s="5"/>
      <c r="H3" s="5"/>
      <c r="I3" s="5"/>
    </row>
    <row r="4" spans="1:7" ht="15.75" customHeight="1">
      <c r="A4" s="80" t="s">
        <v>73</v>
      </c>
      <c r="B4" s="80"/>
      <c r="C4" s="80"/>
      <c r="D4" s="80"/>
      <c r="E4" s="80"/>
      <c r="F4" s="80"/>
      <c r="G4" s="80"/>
    </row>
    <row r="5" ht="13.5" thickBot="1"/>
    <row r="6" spans="1:7" ht="31.5" customHeight="1" thickBot="1">
      <c r="A6" s="35" t="s">
        <v>32</v>
      </c>
      <c r="B6" s="36" t="s">
        <v>1</v>
      </c>
      <c r="C6" s="36" t="s">
        <v>29</v>
      </c>
      <c r="D6" s="36" t="s">
        <v>2</v>
      </c>
      <c r="E6" s="36" t="s">
        <v>3</v>
      </c>
      <c r="F6" s="36" t="s">
        <v>4</v>
      </c>
      <c r="G6" s="37" t="s">
        <v>28</v>
      </c>
    </row>
    <row r="7" spans="1:7" ht="30" customHeight="1">
      <c r="A7" s="26" t="s">
        <v>74</v>
      </c>
      <c r="B7" s="14" t="s">
        <v>44</v>
      </c>
      <c r="C7" s="15">
        <f>236+932.4+1792.34+1416.78+2535.44+9438.86+382.8+520+454+624.06+1196+574+1553+506+6571.09+509+3755+150+360+745+695+2637+2600+825+250+1200+147+150+145+1000+6500+29300+4000+30000+3000+1000+45000+900+7000+22600+435+350+1725+11000+90+7500+12000+900+30000+1500+9800+3789.25+1500+3390+900+10400+275+800+3789+4690+4690+4499.95+16000+4500+1500+3000+4499.95</f>
        <v>336723.92000000004</v>
      </c>
      <c r="D7" s="15">
        <f>234+2211.1+2018.35+462.15+181+140+789.5+3477.4+560+184.75+119.3+490+130+499+450+2106.25+900+800</f>
        <v>15752.8</v>
      </c>
      <c r="E7" s="15">
        <f>600+831.2+356.75+750+827</f>
        <v>3364.95</v>
      </c>
      <c r="F7" s="15">
        <f>381.5+45+297.2+503.5+598.75+51.25+442.5+85.6+165+218+126+259.5+74+1200</f>
        <v>4447.799999999999</v>
      </c>
      <c r="G7" s="38">
        <f>SUM(C7:F7)</f>
        <v>360289.47000000003</v>
      </c>
    </row>
    <row r="8" spans="1:9" ht="30" customHeight="1">
      <c r="A8" s="29" t="s">
        <v>5</v>
      </c>
      <c r="B8" s="12" t="s">
        <v>45</v>
      </c>
      <c r="C8" s="11">
        <f>3110.5+4388.5+900+1078+100+490+224.5+1362</f>
        <v>11653.5</v>
      </c>
      <c r="D8" s="11">
        <f>4598.75</f>
        <v>4598.75</v>
      </c>
      <c r="E8" s="11">
        <f>5483+81000+1600+100+130+400+1158.76+4000+14800</f>
        <v>108671.76</v>
      </c>
      <c r="F8" s="11">
        <f>155+1027.86+55.8+5+64.5+44</f>
        <v>1352.1599999999999</v>
      </c>
      <c r="G8" s="39">
        <f aca="true" t="shared" si="0" ref="G8:G31">SUM(C8:F8)</f>
        <v>126276.17</v>
      </c>
      <c r="I8" s="4"/>
    </row>
    <row r="9" spans="1:7" ht="30" customHeight="1">
      <c r="A9" s="29" t="s">
        <v>6</v>
      </c>
      <c r="B9" s="12" t="s">
        <v>45</v>
      </c>
      <c r="C9" s="11">
        <f>1500+1028+1126+19196.9+2500+3398+1159+1171+7888+12000+1646.38+12425+1750+1800+1200+65000+364590+35772+75000</f>
        <v>610150.28</v>
      </c>
      <c r="D9" s="11">
        <f>1299+1183.45+2150.75</f>
        <v>4633.2</v>
      </c>
      <c r="E9" s="11">
        <f>1381.2+2818.2+3529.8+80000+20000</f>
        <v>107729.2</v>
      </c>
      <c r="F9" s="11">
        <f>4265+1682+2730+1122+5040+5249.9+9030.25+675+912.5</f>
        <v>30706.65</v>
      </c>
      <c r="G9" s="39">
        <f t="shared" si="0"/>
        <v>753219.33</v>
      </c>
    </row>
    <row r="10" spans="1:7" ht="30" customHeight="1">
      <c r="A10" s="29" t="s">
        <v>75</v>
      </c>
      <c r="B10" s="12" t="s">
        <v>42</v>
      </c>
      <c r="C10" s="11">
        <f>1282+7679.25+2249.5+3150+48963+5700+3142+1800+5750+68100+8000+25000+46265+74074+3060+700+8980+1335+6000+8730+400</f>
        <v>330359.75</v>
      </c>
      <c r="D10" s="11">
        <f>2280</f>
        <v>2280</v>
      </c>
      <c r="E10" s="11">
        <f>4454.25+8000+25000+3500+2600+3500+300</f>
        <v>47354.25</v>
      </c>
      <c r="F10" s="11">
        <f>9300+78+5000+30+750+400+4125+400+960+88+1200+600+6250+8000+204+210+8800+600+1700+400+1110+350+420+2540+500+700+800+3400</f>
        <v>58915</v>
      </c>
      <c r="G10" s="39">
        <f t="shared" si="0"/>
        <v>438909</v>
      </c>
    </row>
    <row r="11" spans="1:7" ht="30" customHeight="1">
      <c r="A11" s="29" t="s">
        <v>76</v>
      </c>
      <c r="B11" s="12" t="s">
        <v>43</v>
      </c>
      <c r="C11" s="11">
        <f>1500+4828+27394+12355+239.5+27275+4900+200+8000+7647+25000+28000+990+990+50</f>
        <v>149368.5</v>
      </c>
      <c r="D11" s="11">
        <v>0</v>
      </c>
      <c r="E11" s="11">
        <f>200+500+850+4963+13300+20000+36033+800</f>
        <v>76646</v>
      </c>
      <c r="F11" s="11">
        <f>10509.46+14667.62+1798.46+60480</f>
        <v>87455.54000000001</v>
      </c>
      <c r="G11" s="39">
        <f t="shared" si="0"/>
        <v>313470.04000000004</v>
      </c>
    </row>
    <row r="12" spans="1:7" ht="48" customHeight="1">
      <c r="A12" s="29" t="s">
        <v>77</v>
      </c>
      <c r="B12" s="12" t="s">
        <v>46</v>
      </c>
      <c r="C12" s="11">
        <f>9000+22313+20000+14475+2000+2500+25900+7000</f>
        <v>103188</v>
      </c>
      <c r="D12" s="11">
        <v>0</v>
      </c>
      <c r="E12" s="11">
        <f>82222+243581.97</f>
        <v>325803.97</v>
      </c>
      <c r="F12" s="11">
        <f>9735+3000+420</f>
        <v>13155</v>
      </c>
      <c r="G12" s="39">
        <f t="shared" si="0"/>
        <v>442146.97</v>
      </c>
    </row>
    <row r="13" spans="1:7" ht="30" customHeight="1">
      <c r="A13" s="29" t="s">
        <v>7</v>
      </c>
      <c r="B13" s="12" t="s">
        <v>47</v>
      </c>
      <c r="C13" s="11">
        <f>350+1400+4900+5187+10000+6640+6570+3705+3905.75+4500+1150+6000+15000+3500</f>
        <v>72807.75</v>
      </c>
      <c r="D13" s="11">
        <v>0</v>
      </c>
      <c r="E13" s="11">
        <f>9000+4300+100+15000</f>
        <v>28400</v>
      </c>
      <c r="F13" s="11">
        <v>0</v>
      </c>
      <c r="G13" s="39">
        <f t="shared" si="0"/>
        <v>101207.75</v>
      </c>
    </row>
    <row r="14" spans="1:7" ht="30" customHeight="1">
      <c r="A14" s="29" t="s">
        <v>8</v>
      </c>
      <c r="B14" s="12" t="s">
        <v>48</v>
      </c>
      <c r="C14" s="11">
        <f>600+1790+900+5220+1995+104200+600+450+900</f>
        <v>116655</v>
      </c>
      <c r="D14" s="11">
        <v>0</v>
      </c>
      <c r="E14" s="11">
        <v>0</v>
      </c>
      <c r="F14" s="11">
        <v>0</v>
      </c>
      <c r="G14" s="39">
        <f t="shared" si="0"/>
        <v>116655</v>
      </c>
    </row>
    <row r="15" spans="1:7" ht="30" customHeight="1">
      <c r="A15" s="29" t="s">
        <v>9</v>
      </c>
      <c r="B15" s="12" t="s">
        <v>49</v>
      </c>
      <c r="C15" s="11">
        <f>88200+21000+7000</f>
        <v>116200</v>
      </c>
      <c r="D15" s="11">
        <v>0</v>
      </c>
      <c r="E15" s="11">
        <v>0</v>
      </c>
      <c r="F15" s="11">
        <v>0</v>
      </c>
      <c r="G15" s="39">
        <f t="shared" si="0"/>
        <v>116200</v>
      </c>
    </row>
    <row r="16" spans="1:7" ht="30" customHeight="1">
      <c r="A16" s="29" t="s">
        <v>10</v>
      </c>
      <c r="B16" s="12" t="s">
        <v>49</v>
      </c>
      <c r="C16" s="11">
        <f>19015+63724+18600+55000+66294+5455+70145.75+2750</f>
        <v>300983.75</v>
      </c>
      <c r="D16" s="11">
        <v>0</v>
      </c>
      <c r="E16" s="11">
        <v>0</v>
      </c>
      <c r="F16" s="11">
        <v>0</v>
      </c>
      <c r="G16" s="39">
        <f t="shared" si="0"/>
        <v>300983.75</v>
      </c>
    </row>
    <row r="17" spans="1:7" ht="30" customHeight="1">
      <c r="A17" s="29" t="s">
        <v>11</v>
      </c>
      <c r="B17" s="12" t="s">
        <v>50</v>
      </c>
      <c r="C17" s="11">
        <f>55000+30000+9200+5000+30000+50000+3370+11440</f>
        <v>194010</v>
      </c>
      <c r="D17" s="11"/>
      <c r="E17" s="11"/>
      <c r="F17" s="11"/>
      <c r="G17" s="39">
        <f t="shared" si="0"/>
        <v>194010</v>
      </c>
    </row>
    <row r="18" spans="1:7" ht="30" customHeight="1">
      <c r="A18" s="29" t="s">
        <v>12</v>
      </c>
      <c r="B18" s="12" t="s">
        <v>51</v>
      </c>
      <c r="C18" s="11">
        <f>4600</f>
        <v>4600</v>
      </c>
      <c r="D18" s="11">
        <v>0</v>
      </c>
      <c r="E18" s="11">
        <v>0</v>
      </c>
      <c r="F18" s="11">
        <v>0</v>
      </c>
      <c r="G18" s="39">
        <f t="shared" si="0"/>
        <v>4600</v>
      </c>
    </row>
    <row r="19" spans="1:7" ht="30" customHeight="1">
      <c r="A19" s="29" t="s">
        <v>13</v>
      </c>
      <c r="B19" s="12" t="s">
        <v>51</v>
      </c>
      <c r="C19" s="11">
        <f>46080+650+9900+12000+1100+1600+3500+9900+8990</f>
        <v>93720</v>
      </c>
      <c r="D19" s="11">
        <v>0</v>
      </c>
      <c r="E19" s="11">
        <v>0</v>
      </c>
      <c r="F19" s="11">
        <v>0</v>
      </c>
      <c r="G19" s="39">
        <f t="shared" si="0"/>
        <v>93720</v>
      </c>
    </row>
    <row r="20" spans="1:7" ht="30" customHeight="1">
      <c r="A20" s="29" t="s">
        <v>14</v>
      </c>
      <c r="B20" s="12" t="s">
        <v>51</v>
      </c>
      <c r="C20" s="11">
        <f>99500+2400</f>
        <v>101900</v>
      </c>
      <c r="D20" s="11">
        <v>0</v>
      </c>
      <c r="E20" s="11">
        <v>0</v>
      </c>
      <c r="F20" s="11">
        <v>0</v>
      </c>
      <c r="G20" s="39">
        <f t="shared" si="0"/>
        <v>101900</v>
      </c>
    </row>
    <row r="21" spans="1:7" ht="30" customHeight="1">
      <c r="A21" s="29" t="s">
        <v>15</v>
      </c>
      <c r="B21" s="12" t="s">
        <v>52</v>
      </c>
      <c r="C21" s="11">
        <f>12460</f>
        <v>12460</v>
      </c>
      <c r="D21" s="11">
        <v>0</v>
      </c>
      <c r="E21" s="11">
        <v>0</v>
      </c>
      <c r="F21" s="11">
        <v>0</v>
      </c>
      <c r="G21" s="39">
        <f t="shared" si="0"/>
        <v>12460</v>
      </c>
    </row>
    <row r="22" spans="1:7" ht="30" customHeight="1">
      <c r="A22" s="29" t="s">
        <v>16</v>
      </c>
      <c r="B22" s="12" t="s">
        <v>52</v>
      </c>
      <c r="C22" s="11">
        <v>5060</v>
      </c>
      <c r="D22" s="11">
        <v>0</v>
      </c>
      <c r="E22" s="11">
        <v>0</v>
      </c>
      <c r="F22" s="11">
        <v>0</v>
      </c>
      <c r="G22" s="39">
        <f t="shared" si="0"/>
        <v>5060</v>
      </c>
    </row>
    <row r="23" spans="1:7" ht="30" customHeight="1">
      <c r="A23" s="29" t="s">
        <v>17</v>
      </c>
      <c r="B23" s="12" t="s">
        <v>52</v>
      </c>
      <c r="C23" s="11">
        <f>1500</f>
        <v>1500</v>
      </c>
      <c r="D23" s="11">
        <v>0</v>
      </c>
      <c r="E23" s="11">
        <v>0</v>
      </c>
      <c r="F23" s="11">
        <f>300</f>
        <v>300</v>
      </c>
      <c r="G23" s="39">
        <f t="shared" si="0"/>
        <v>1800</v>
      </c>
    </row>
    <row r="24" spans="1:7" ht="27.75" customHeight="1">
      <c r="A24" s="29" t="s">
        <v>18</v>
      </c>
      <c r="B24" s="12" t="s">
        <v>53</v>
      </c>
      <c r="C24" s="11">
        <f>7800+7048+7957</f>
        <v>22805</v>
      </c>
      <c r="D24" s="11">
        <v>0</v>
      </c>
      <c r="E24" s="11">
        <v>0</v>
      </c>
      <c r="F24" s="11">
        <v>0</v>
      </c>
      <c r="G24" s="39">
        <f t="shared" si="0"/>
        <v>22805</v>
      </c>
    </row>
    <row r="25" spans="1:7" ht="25.5" customHeight="1">
      <c r="A25" s="29" t="s">
        <v>19</v>
      </c>
      <c r="B25" s="12" t="s">
        <v>53</v>
      </c>
      <c r="C25" s="11">
        <f>14900</f>
        <v>14900</v>
      </c>
      <c r="D25" s="11">
        <v>0</v>
      </c>
      <c r="E25" s="11">
        <v>0</v>
      </c>
      <c r="F25" s="11">
        <v>0</v>
      </c>
      <c r="G25" s="39">
        <f t="shared" si="0"/>
        <v>14900</v>
      </c>
    </row>
    <row r="26" spans="1:7" ht="30" customHeight="1">
      <c r="A26" s="29" t="s">
        <v>20</v>
      </c>
      <c r="B26" s="12" t="s">
        <v>53</v>
      </c>
      <c r="C26" s="11">
        <f>2800+2800+13000</f>
        <v>18600</v>
      </c>
      <c r="D26" s="11">
        <v>0</v>
      </c>
      <c r="E26" s="11">
        <v>0</v>
      </c>
      <c r="F26" s="11">
        <v>0</v>
      </c>
      <c r="G26" s="39">
        <f t="shared" si="0"/>
        <v>18600</v>
      </c>
    </row>
    <row r="27" spans="1:7" ht="30" customHeight="1">
      <c r="A27" s="29" t="s">
        <v>21</v>
      </c>
      <c r="B27" s="12" t="s">
        <v>54</v>
      </c>
      <c r="C27" s="11">
        <v>5260</v>
      </c>
      <c r="D27" s="11">
        <v>0</v>
      </c>
      <c r="E27" s="11">
        <v>0</v>
      </c>
      <c r="F27" s="11">
        <v>0</v>
      </c>
      <c r="G27" s="39">
        <f t="shared" si="0"/>
        <v>5260</v>
      </c>
    </row>
    <row r="28" spans="1:7" ht="30" customHeight="1">
      <c r="A28" s="29" t="s">
        <v>22</v>
      </c>
      <c r="B28" s="12" t="s">
        <v>54</v>
      </c>
      <c r="C28" s="11">
        <f>8275+6200+2790</f>
        <v>17265</v>
      </c>
      <c r="D28" s="11">
        <v>0</v>
      </c>
      <c r="E28" s="11">
        <v>0</v>
      </c>
      <c r="F28" s="11">
        <v>0</v>
      </c>
      <c r="G28" s="39">
        <f t="shared" si="0"/>
        <v>17265</v>
      </c>
    </row>
    <row r="29" spans="1:7" ht="30" customHeight="1">
      <c r="A29" s="29" t="s">
        <v>23</v>
      </c>
      <c r="B29" s="12" t="s">
        <v>54</v>
      </c>
      <c r="C29" s="11">
        <f>4390+4689</f>
        <v>9079</v>
      </c>
      <c r="D29" s="11">
        <v>0</v>
      </c>
      <c r="E29" s="11">
        <v>0</v>
      </c>
      <c r="F29" s="11">
        <v>0</v>
      </c>
      <c r="G29" s="39">
        <f t="shared" si="0"/>
        <v>9079</v>
      </c>
    </row>
    <row r="30" spans="1:7" ht="30" customHeight="1">
      <c r="A30" s="29" t="s">
        <v>24</v>
      </c>
      <c r="B30" s="12" t="s">
        <v>54</v>
      </c>
      <c r="C30" s="11">
        <f>5000+1400+2900+6000+4000+27000+27000+36745+451480</f>
        <v>561525</v>
      </c>
      <c r="D30" s="11">
        <v>0</v>
      </c>
      <c r="E30" s="11">
        <v>0</v>
      </c>
      <c r="F30" s="11">
        <v>0</v>
      </c>
      <c r="G30" s="39">
        <f t="shared" si="0"/>
        <v>561525</v>
      </c>
    </row>
    <row r="31" spans="1:7" ht="30" customHeight="1" thickBot="1">
      <c r="A31" s="31" t="s">
        <v>25</v>
      </c>
      <c r="B31" s="40" t="s">
        <v>54</v>
      </c>
      <c r="C31" s="33">
        <f>8000+750+2500+1500+175</f>
        <v>12925</v>
      </c>
      <c r="D31" s="33">
        <v>0</v>
      </c>
      <c r="E31" s="33">
        <v>0</v>
      </c>
      <c r="F31" s="33">
        <v>0</v>
      </c>
      <c r="G31" s="41">
        <f t="shared" si="0"/>
        <v>12925</v>
      </c>
    </row>
    <row r="32" spans="1:7" ht="16.5" customHeight="1">
      <c r="A32" s="1"/>
      <c r="C32" s="2"/>
      <c r="D32" s="2"/>
      <c r="E32" s="2"/>
      <c r="F32" s="2"/>
      <c r="G32" s="2"/>
    </row>
    <row r="33" spans="1:7" ht="16.5" customHeight="1">
      <c r="A33" s="1"/>
      <c r="C33" s="2"/>
      <c r="D33" s="2"/>
      <c r="E33" s="2"/>
      <c r="F33" s="2"/>
      <c r="G33" s="23" t="s">
        <v>60</v>
      </c>
    </row>
    <row r="34" spans="1:7" ht="17.25" customHeight="1">
      <c r="A34" s="8" t="s">
        <v>59</v>
      </c>
      <c r="C34" s="2"/>
      <c r="D34" s="2"/>
      <c r="E34" s="2"/>
      <c r="F34" s="2"/>
      <c r="G34" s="22" t="s">
        <v>71</v>
      </c>
    </row>
    <row r="35" spans="1:7" ht="30" customHeight="1">
      <c r="A35" s="1"/>
      <c r="C35" s="2"/>
      <c r="D35" s="2"/>
      <c r="E35" s="2"/>
      <c r="F35" s="2"/>
      <c r="G35" s="2"/>
    </row>
    <row r="36" spans="1:7" ht="30" customHeight="1">
      <c r="A36" s="1"/>
      <c r="C36" s="2"/>
      <c r="D36" s="2"/>
      <c r="E36" s="2"/>
      <c r="F36" s="2"/>
      <c r="G36" s="2"/>
    </row>
    <row r="37" spans="1:7" ht="12.75">
      <c r="A37" s="1"/>
      <c r="C37" s="2"/>
      <c r="D37" s="2"/>
      <c r="E37" s="2"/>
      <c r="F37" s="2"/>
      <c r="G37" s="2"/>
    </row>
    <row r="38" spans="1:7" ht="12.75">
      <c r="A38" s="1"/>
      <c r="C38" s="2"/>
      <c r="D38" s="2"/>
      <c r="E38" s="2"/>
      <c r="F38" s="2"/>
      <c r="G38" s="2"/>
    </row>
    <row r="39" spans="1:7" ht="12.75">
      <c r="A39" s="1"/>
      <c r="C39" s="2"/>
      <c r="D39" s="2"/>
      <c r="E39" s="2"/>
      <c r="F39" s="2"/>
      <c r="G39" s="2"/>
    </row>
    <row r="40" spans="1:7" ht="12.75">
      <c r="A40" s="1"/>
      <c r="C40" s="2"/>
      <c r="D40" s="2"/>
      <c r="E40" s="2"/>
      <c r="F40" s="2"/>
      <c r="G40" s="2"/>
    </row>
    <row r="41" spans="1:7" ht="12.75">
      <c r="A41" s="1"/>
      <c r="C41" s="2"/>
      <c r="D41" s="2"/>
      <c r="E41" s="2"/>
      <c r="F41" s="2"/>
      <c r="G41" s="2"/>
    </row>
    <row r="42" spans="1:7" ht="12.75">
      <c r="A42" s="1"/>
      <c r="C42" s="2"/>
      <c r="D42" s="2"/>
      <c r="E42" s="2"/>
      <c r="F42" s="2"/>
      <c r="G42" s="2"/>
    </row>
    <row r="43" spans="1:7" ht="12.75">
      <c r="A43" s="1"/>
      <c r="C43" s="2"/>
      <c r="D43" s="2"/>
      <c r="E43" s="2"/>
      <c r="F43" s="2"/>
      <c r="G43" s="2"/>
    </row>
    <row r="44" spans="1:7" ht="12.75">
      <c r="A44" s="1"/>
      <c r="C44" s="2"/>
      <c r="D44" s="2"/>
      <c r="E44" s="2"/>
      <c r="F44" s="2"/>
      <c r="G44" s="2"/>
    </row>
    <row r="45" spans="1:7" ht="12.75">
      <c r="A45" s="1"/>
      <c r="C45" s="2"/>
      <c r="D45" s="2"/>
      <c r="E45" s="2"/>
      <c r="F45" s="2"/>
      <c r="G45" s="2"/>
    </row>
    <row r="46" spans="1:7" ht="12.75">
      <c r="A46" s="1"/>
      <c r="C46" s="2"/>
      <c r="D46" s="2"/>
      <c r="E46" s="2"/>
      <c r="F46" s="2"/>
      <c r="G46" s="2"/>
    </row>
    <row r="47" spans="3:7" ht="12.75">
      <c r="C47" s="2"/>
      <c r="D47" s="2"/>
      <c r="E47" s="2"/>
      <c r="F47" s="2"/>
      <c r="G47" s="2"/>
    </row>
    <row r="48" spans="3:7" ht="12.75">
      <c r="C48" s="2"/>
      <c r="D48" s="2"/>
      <c r="E48" s="2"/>
      <c r="F48" s="2"/>
      <c r="G48" s="2"/>
    </row>
    <row r="49" spans="3:7" ht="12.75">
      <c r="C49" s="2"/>
      <c r="D49" s="2"/>
      <c r="E49" s="2"/>
      <c r="F49" s="2"/>
      <c r="G49" s="2"/>
    </row>
    <row r="50" spans="3:7" ht="12.75">
      <c r="C50" s="2"/>
      <c r="D50" s="2"/>
      <c r="E50" s="2"/>
      <c r="F50" s="2"/>
      <c r="G50" s="2"/>
    </row>
    <row r="51" spans="3:7" ht="12.75">
      <c r="C51" s="2"/>
      <c r="D51" s="2"/>
      <c r="E51" s="2"/>
      <c r="F51" s="2"/>
      <c r="G51" s="2"/>
    </row>
    <row r="52" spans="3:7" ht="12.75">
      <c r="C52" s="2"/>
      <c r="D52" s="2"/>
      <c r="E52" s="2"/>
      <c r="F52" s="2"/>
      <c r="G52" s="2"/>
    </row>
    <row r="53" spans="3:7" ht="12.75">
      <c r="C53" s="2"/>
      <c r="D53" s="2"/>
      <c r="E53" s="2"/>
      <c r="F53" s="2"/>
      <c r="G53" s="2"/>
    </row>
    <row r="54" spans="3:7" ht="12.75">
      <c r="C54" s="2"/>
      <c r="D54" s="2"/>
      <c r="E54" s="2"/>
      <c r="F54" s="2"/>
      <c r="G54" s="2"/>
    </row>
    <row r="55" spans="3:7" ht="12.75">
      <c r="C55" s="2"/>
      <c r="D55" s="2"/>
      <c r="E55" s="2"/>
      <c r="F55" s="2"/>
      <c r="G55" s="2"/>
    </row>
    <row r="56" spans="3:7" ht="12.75">
      <c r="C56" s="2"/>
      <c r="D56" s="2"/>
      <c r="E56" s="2"/>
      <c r="F56" s="2"/>
      <c r="G56" s="2"/>
    </row>
    <row r="57" spans="3:7" ht="12.75">
      <c r="C57" s="2"/>
      <c r="D57" s="2"/>
      <c r="E57" s="2"/>
      <c r="F57" s="2"/>
      <c r="G57" s="2"/>
    </row>
    <row r="58" spans="3:7" ht="12.75">
      <c r="C58" s="2"/>
      <c r="D58" s="2"/>
      <c r="E58" s="2"/>
      <c r="F58" s="2"/>
      <c r="G58" s="2"/>
    </row>
    <row r="59" spans="3:7" ht="12.75">
      <c r="C59" s="2"/>
      <c r="D59" s="2"/>
      <c r="E59" s="2"/>
      <c r="F59" s="2"/>
      <c r="G59" s="2"/>
    </row>
    <row r="60" spans="3:7" ht="12.75">
      <c r="C60" s="2"/>
      <c r="D60" s="2"/>
      <c r="E60" s="2"/>
      <c r="F60" s="2"/>
      <c r="G60" s="2"/>
    </row>
    <row r="61" spans="3:7" ht="12.75">
      <c r="C61" s="2"/>
      <c r="D61" s="2"/>
      <c r="E61" s="2"/>
      <c r="F61" s="2"/>
      <c r="G61" s="2"/>
    </row>
    <row r="62" spans="3:7" ht="12.75">
      <c r="C62" s="2"/>
      <c r="D62" s="2"/>
      <c r="E62" s="2"/>
      <c r="F62" s="2"/>
      <c r="G62" s="2"/>
    </row>
    <row r="63" spans="3:7" ht="12.75">
      <c r="C63" s="2"/>
      <c r="D63" s="2"/>
      <c r="E63" s="2"/>
      <c r="F63" s="2"/>
      <c r="G63" s="2"/>
    </row>
    <row r="64" spans="3:7" ht="12.75">
      <c r="C64" s="2"/>
      <c r="D64" s="2"/>
      <c r="E64" s="2"/>
      <c r="F64" s="2"/>
      <c r="G64" s="2"/>
    </row>
    <row r="65" spans="3:7" ht="12.75">
      <c r="C65" s="2"/>
      <c r="D65" s="2"/>
      <c r="E65" s="2"/>
      <c r="F65" s="2"/>
      <c r="G65" s="2"/>
    </row>
    <row r="66" spans="3:7" ht="12.75">
      <c r="C66" s="2"/>
      <c r="D66" s="2"/>
      <c r="E66" s="2"/>
      <c r="F66" s="2"/>
      <c r="G66" s="2"/>
    </row>
    <row r="67" spans="3:7" ht="12.75">
      <c r="C67" s="2"/>
      <c r="D67" s="2"/>
      <c r="E67" s="2"/>
      <c r="F67" s="2"/>
      <c r="G67" s="2"/>
    </row>
    <row r="68" spans="3:7" ht="12.75">
      <c r="C68" s="2"/>
      <c r="D68" s="2"/>
      <c r="E68" s="2"/>
      <c r="F68" s="2"/>
      <c r="G68" s="2"/>
    </row>
    <row r="69" spans="3:7" ht="12.75">
      <c r="C69" s="2"/>
      <c r="D69" s="2"/>
      <c r="E69" s="2"/>
      <c r="F69" s="2"/>
      <c r="G69" s="2"/>
    </row>
    <row r="70" spans="3:7" ht="12.75">
      <c r="C70" s="2"/>
      <c r="D70" s="2"/>
      <c r="E70" s="2"/>
      <c r="F70" s="2"/>
      <c r="G70" s="2"/>
    </row>
    <row r="71" spans="3:7" ht="12.75">
      <c r="C71" s="2"/>
      <c r="D71" s="2"/>
      <c r="E71" s="2"/>
      <c r="F71" s="2"/>
      <c r="G71" s="2"/>
    </row>
    <row r="72" spans="3:7" ht="12.75">
      <c r="C72" s="2"/>
      <c r="D72" s="2"/>
      <c r="E72" s="2"/>
      <c r="F72" s="2"/>
      <c r="G72" s="2"/>
    </row>
    <row r="73" spans="3:7" ht="12.75">
      <c r="C73" s="2"/>
      <c r="D73" s="2"/>
      <c r="E73" s="2"/>
      <c r="F73" s="2"/>
      <c r="G73" s="2"/>
    </row>
    <row r="74" spans="3:7" ht="12.75">
      <c r="C74" s="2"/>
      <c r="D74" s="2"/>
      <c r="E74" s="2"/>
      <c r="F74" s="2"/>
      <c r="G74" s="2"/>
    </row>
    <row r="75" spans="3:7" ht="12.75">
      <c r="C75" s="2"/>
      <c r="D75" s="2"/>
      <c r="E75" s="2"/>
      <c r="F75" s="2"/>
      <c r="G75" s="2"/>
    </row>
    <row r="76" spans="3:7" ht="12.75">
      <c r="C76" s="2"/>
      <c r="D76" s="2"/>
      <c r="E76" s="2"/>
      <c r="F76" s="2"/>
      <c r="G76" s="2"/>
    </row>
    <row r="77" spans="3:7" ht="12.75">
      <c r="C77" s="2"/>
      <c r="D77" s="2"/>
      <c r="E77" s="2"/>
      <c r="F77" s="2"/>
      <c r="G77" s="2"/>
    </row>
  </sheetData>
  <mergeCells count="2">
    <mergeCell ref="A2:G2"/>
    <mergeCell ref="A4:G4"/>
  </mergeCells>
  <printOptions horizontalCentered="1"/>
  <pageMargins left="0.3937007874015748" right="0.3937007874015748" top="0.5905511811023623" bottom="0.5905511811023623" header="0.5118110236220472" footer="0.5118110236220472"/>
  <pageSetup horizontalDpi="240" verticalDpi="24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4"/>
  <sheetViews>
    <sheetView workbookViewId="0" topLeftCell="A1">
      <selection activeCell="B8" sqref="B8"/>
    </sheetView>
  </sheetViews>
  <sheetFormatPr defaultColWidth="9.140625" defaultRowHeight="12.75"/>
  <cols>
    <col min="1" max="1" width="31.00390625" style="0" customWidth="1"/>
    <col min="2" max="2" width="16.8515625" style="0" customWidth="1"/>
    <col min="3" max="3" width="18.140625" style="0" customWidth="1"/>
    <col min="4" max="4" width="15.28125" style="0" customWidth="1"/>
    <col min="5" max="5" width="13.57421875" style="0" customWidth="1"/>
    <col min="6" max="6" width="14.8515625" style="0" customWidth="1"/>
    <col min="7" max="7" width="17.140625" style="0" customWidth="1"/>
  </cols>
  <sheetData>
    <row r="1" ht="14.25" thickBot="1" thickTop="1">
      <c r="G1" s="25" t="s">
        <v>30</v>
      </c>
    </row>
    <row r="2" spans="1:6" ht="20.25" thickTop="1">
      <c r="A2" s="83" t="s">
        <v>70</v>
      </c>
      <c r="B2" s="83"/>
      <c r="C2" s="83"/>
      <c r="D2" s="83"/>
      <c r="E2" s="83"/>
      <c r="F2" s="83"/>
    </row>
    <row r="3" spans="1:6" ht="12.75">
      <c r="A3" s="84" t="s">
        <v>78</v>
      </c>
      <c r="B3" s="84"/>
      <c r="C3" s="84"/>
      <c r="D3" s="84"/>
      <c r="E3" s="84"/>
      <c r="F3" s="84"/>
    </row>
    <row r="4" spans="1:6" ht="13.5" thickBot="1">
      <c r="A4" s="84"/>
      <c r="B4" s="84"/>
      <c r="C4" s="84"/>
      <c r="D4" s="84"/>
      <c r="E4" s="84"/>
      <c r="F4" s="84"/>
    </row>
    <row r="5" spans="1:29" ht="35.25" customHeight="1" thickBot="1">
      <c r="A5" s="42" t="s">
        <v>32</v>
      </c>
      <c r="B5" s="43" t="s">
        <v>31</v>
      </c>
      <c r="C5" s="44" t="s">
        <v>63</v>
      </c>
      <c r="D5" s="44" t="s">
        <v>2</v>
      </c>
      <c r="E5" s="44" t="s">
        <v>62</v>
      </c>
      <c r="F5" s="44" t="s">
        <v>4</v>
      </c>
      <c r="G5" s="45" t="s">
        <v>28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7" ht="31.5" customHeight="1">
      <c r="A6" s="85" t="s">
        <v>33</v>
      </c>
      <c r="B6" s="24" t="s">
        <v>34</v>
      </c>
      <c r="C6" s="15">
        <f>15000+400+1500+4000+1500+1500+200+1000+3979+4600+517.5+460+950+650+700+2380.5+3392.5+201.25+431.25+1200</f>
        <v>44562</v>
      </c>
      <c r="D6" s="15">
        <v>0</v>
      </c>
      <c r="E6" s="15">
        <f>2000+8640+10800+4000+6400+19200+16000+29600+29600+22000+8400+16000+5200+18000+9600+54400+20400</f>
        <v>280240</v>
      </c>
      <c r="F6" s="15">
        <v>0</v>
      </c>
      <c r="G6" s="27">
        <f>SUM(C6:F6)</f>
        <v>324802</v>
      </c>
    </row>
    <row r="7" spans="1:7" ht="23.25" customHeight="1">
      <c r="A7" s="86"/>
      <c r="B7" s="21" t="s">
        <v>35</v>
      </c>
      <c r="C7" s="11">
        <f>4500+10800+3253.8+8100+1800+18000+27500+4500+250+150+3600+6300+9000+250</f>
        <v>98003.8</v>
      </c>
      <c r="D7" s="11">
        <v>0</v>
      </c>
      <c r="E7" s="11">
        <f>1740+1200+5800+6000+130</f>
        <v>14870</v>
      </c>
      <c r="F7" s="11">
        <f>370</f>
        <v>370</v>
      </c>
      <c r="G7" s="28">
        <f aca="true" t="shared" si="0" ref="G7:G26">SUM(C7:F7)</f>
        <v>113243.8</v>
      </c>
    </row>
    <row r="8" spans="1:7" ht="21.75" customHeight="1">
      <c r="A8" s="87"/>
      <c r="B8" s="21" t="s">
        <v>58</v>
      </c>
      <c r="C8" s="11">
        <v>0</v>
      </c>
      <c r="D8" s="11">
        <v>0</v>
      </c>
      <c r="E8" s="11">
        <v>5800</v>
      </c>
      <c r="F8" s="11">
        <v>0</v>
      </c>
      <c r="G8" s="28">
        <f t="shared" si="0"/>
        <v>5800</v>
      </c>
    </row>
    <row r="9" spans="1:7" ht="36.75" customHeight="1">
      <c r="A9" s="81" t="s">
        <v>36</v>
      </c>
      <c r="B9" s="21" t="s">
        <v>34</v>
      </c>
      <c r="C9" s="11">
        <f>900+450+300+15000+3100+950+7500+100+300+16500</f>
        <v>45100</v>
      </c>
      <c r="D9" s="11">
        <v>0</v>
      </c>
      <c r="E9" s="11">
        <v>0</v>
      </c>
      <c r="F9" s="11">
        <f>1350+450+600+3600+1350+450+600+1300+1100+945+525+9025+1050+480+500+900+800+7000+800+1800</f>
        <v>34625</v>
      </c>
      <c r="G9" s="28">
        <f t="shared" si="0"/>
        <v>79725</v>
      </c>
    </row>
    <row r="10" spans="1:7" ht="23.25" customHeight="1">
      <c r="A10" s="87"/>
      <c r="B10" s="21" t="s">
        <v>37</v>
      </c>
      <c r="C10" s="11">
        <v>0</v>
      </c>
      <c r="D10" s="11">
        <v>0</v>
      </c>
      <c r="E10" s="11">
        <v>0</v>
      </c>
      <c r="F10" s="11">
        <v>1600</v>
      </c>
      <c r="G10" s="28">
        <f t="shared" si="0"/>
        <v>1600</v>
      </c>
    </row>
    <row r="11" spans="1:7" ht="27" customHeight="1">
      <c r="A11" s="29" t="s">
        <v>38</v>
      </c>
      <c r="B11" s="21" t="s">
        <v>34</v>
      </c>
      <c r="C11" s="11">
        <f>5000+8000+8000+5000+4000+1650+12000+7000+1350+14000+3500</f>
        <v>69500</v>
      </c>
      <c r="D11" s="11">
        <f>645+645</f>
        <v>1290</v>
      </c>
      <c r="E11" s="11">
        <v>0</v>
      </c>
      <c r="F11" s="11">
        <f>4390+4773+4390+4690+5000+1000+700</f>
        <v>24943</v>
      </c>
      <c r="G11" s="28">
        <f t="shared" si="0"/>
        <v>95733</v>
      </c>
    </row>
    <row r="12" spans="1:7" ht="27" customHeight="1">
      <c r="A12" s="29" t="s">
        <v>39</v>
      </c>
      <c r="B12" s="21" t="s">
        <v>34</v>
      </c>
      <c r="C12" s="11">
        <v>0</v>
      </c>
      <c r="D12" s="11">
        <v>0</v>
      </c>
      <c r="E12" s="11">
        <v>0</v>
      </c>
      <c r="F12" s="11">
        <f>4990</f>
        <v>4990</v>
      </c>
      <c r="G12" s="28">
        <f t="shared" si="0"/>
        <v>4990</v>
      </c>
    </row>
    <row r="13" spans="1:7" ht="21.75" customHeight="1">
      <c r="A13" s="30" t="s">
        <v>40</v>
      </c>
      <c r="B13" s="21" t="s">
        <v>34</v>
      </c>
      <c r="C13" s="11">
        <f>5000+45000+6700+300+45000+5000</f>
        <v>107000</v>
      </c>
      <c r="D13" s="11">
        <v>0</v>
      </c>
      <c r="E13" s="11">
        <v>0</v>
      </c>
      <c r="F13" s="11">
        <v>0</v>
      </c>
      <c r="G13" s="28">
        <f t="shared" si="0"/>
        <v>107000</v>
      </c>
    </row>
    <row r="14" spans="1:7" ht="43.5" customHeight="1">
      <c r="A14" s="29" t="s">
        <v>41</v>
      </c>
      <c r="B14" s="21" t="s">
        <v>34</v>
      </c>
      <c r="C14" s="11">
        <f>33200+25779</f>
        <v>58979</v>
      </c>
      <c r="D14" s="11">
        <v>0</v>
      </c>
      <c r="E14" s="11">
        <v>0</v>
      </c>
      <c r="F14" s="11">
        <v>0</v>
      </c>
      <c r="G14" s="28">
        <f t="shared" si="0"/>
        <v>58979</v>
      </c>
    </row>
    <row r="15" spans="1:7" ht="33.75" customHeight="1">
      <c r="A15" s="29" t="s">
        <v>64</v>
      </c>
      <c r="B15" s="10"/>
      <c r="C15" s="11">
        <v>0</v>
      </c>
      <c r="D15" s="11">
        <v>0</v>
      </c>
      <c r="E15" s="11">
        <v>0</v>
      </c>
      <c r="F15" s="11">
        <v>4689</v>
      </c>
      <c r="G15" s="28">
        <f t="shared" si="0"/>
        <v>4689</v>
      </c>
    </row>
    <row r="16" spans="1:7" ht="23.25" customHeight="1">
      <c r="A16" s="29" t="s">
        <v>10</v>
      </c>
      <c r="B16" s="10" t="s">
        <v>34</v>
      </c>
      <c r="C16" s="11">
        <v>0</v>
      </c>
      <c r="D16" s="11">
        <v>0</v>
      </c>
      <c r="E16" s="11">
        <v>0</v>
      </c>
      <c r="F16" s="11">
        <v>13910</v>
      </c>
      <c r="G16" s="28">
        <f t="shared" si="0"/>
        <v>13910</v>
      </c>
    </row>
    <row r="17" spans="1:7" ht="23.25" customHeight="1">
      <c r="A17" s="29" t="s">
        <v>65</v>
      </c>
      <c r="B17" s="10" t="s">
        <v>34</v>
      </c>
      <c r="C17" s="11">
        <v>25000</v>
      </c>
      <c r="D17" s="11">
        <v>0</v>
      </c>
      <c r="E17" s="11">
        <v>0</v>
      </c>
      <c r="F17" s="11">
        <v>0</v>
      </c>
      <c r="G17" s="28">
        <f t="shared" si="0"/>
        <v>25000</v>
      </c>
    </row>
    <row r="18" spans="1:7" ht="30" customHeight="1">
      <c r="A18" s="29" t="s">
        <v>66</v>
      </c>
      <c r="B18" s="10" t="s">
        <v>34</v>
      </c>
      <c r="C18" s="11">
        <f>7500+17990</f>
        <v>25490</v>
      </c>
      <c r="D18" s="11">
        <v>0</v>
      </c>
      <c r="E18" s="11">
        <v>0</v>
      </c>
      <c r="F18" s="11">
        <v>0</v>
      </c>
      <c r="G18" s="28">
        <f t="shared" si="0"/>
        <v>25490</v>
      </c>
    </row>
    <row r="19" spans="1:7" ht="26.25" customHeight="1">
      <c r="A19" s="29" t="s">
        <v>67</v>
      </c>
      <c r="B19" s="10" t="s">
        <v>34</v>
      </c>
      <c r="C19" s="11">
        <v>0</v>
      </c>
      <c r="D19" s="11">
        <v>0</v>
      </c>
      <c r="E19" s="11">
        <v>0</v>
      </c>
      <c r="F19" s="11">
        <v>47084.2</v>
      </c>
      <c r="G19" s="28">
        <f t="shared" si="0"/>
        <v>47084.2</v>
      </c>
    </row>
    <row r="20" spans="1:7" ht="21.75" customHeight="1">
      <c r="A20" s="29" t="s">
        <v>17</v>
      </c>
      <c r="B20" s="10" t="s">
        <v>34</v>
      </c>
      <c r="C20" s="11">
        <v>0</v>
      </c>
      <c r="D20" s="11">
        <v>0</v>
      </c>
      <c r="E20" s="11">
        <v>0</v>
      </c>
      <c r="F20" s="11">
        <v>750.45</v>
      </c>
      <c r="G20" s="28">
        <f t="shared" si="0"/>
        <v>750.45</v>
      </c>
    </row>
    <row r="21" spans="1:7" ht="25.5" customHeight="1">
      <c r="A21" s="29" t="s">
        <v>55</v>
      </c>
      <c r="B21" s="10" t="s">
        <v>34</v>
      </c>
      <c r="C21" s="11">
        <v>1150</v>
      </c>
      <c r="D21" s="11">
        <v>0</v>
      </c>
      <c r="E21" s="11">
        <v>0</v>
      </c>
      <c r="F21" s="11">
        <v>0</v>
      </c>
      <c r="G21" s="28">
        <f t="shared" si="0"/>
        <v>1150</v>
      </c>
    </row>
    <row r="22" spans="1:7" ht="23.25" customHeight="1">
      <c r="A22" s="81" t="s">
        <v>72</v>
      </c>
      <c r="B22" s="10" t="s">
        <v>34</v>
      </c>
      <c r="C22" s="11">
        <f>3800</f>
        <v>3800</v>
      </c>
      <c r="D22" s="11">
        <v>0</v>
      </c>
      <c r="E22" s="11">
        <v>0</v>
      </c>
      <c r="F22" s="11">
        <v>0</v>
      </c>
      <c r="G22" s="28">
        <f t="shared" si="0"/>
        <v>3800</v>
      </c>
    </row>
    <row r="23" spans="1:7" ht="25.5" customHeight="1">
      <c r="A23" s="82"/>
      <c r="B23" s="10" t="s">
        <v>35</v>
      </c>
      <c r="C23" s="11">
        <f>3790</f>
        <v>3790</v>
      </c>
      <c r="D23" s="11">
        <v>0</v>
      </c>
      <c r="E23" s="11">
        <v>0</v>
      </c>
      <c r="F23" s="11">
        <v>0</v>
      </c>
      <c r="G23" s="28">
        <f t="shared" si="0"/>
        <v>3790</v>
      </c>
    </row>
    <row r="24" spans="1:7" ht="46.5" customHeight="1">
      <c r="A24" s="29" t="s">
        <v>68</v>
      </c>
      <c r="B24" s="10" t="s">
        <v>34</v>
      </c>
      <c r="C24" s="11">
        <f>9900</f>
        <v>9900</v>
      </c>
      <c r="D24" s="11">
        <v>0</v>
      </c>
      <c r="E24" s="11">
        <v>0</v>
      </c>
      <c r="F24" s="11">
        <v>0</v>
      </c>
      <c r="G24" s="28">
        <f t="shared" si="0"/>
        <v>9900</v>
      </c>
    </row>
    <row r="25" spans="1:7" ht="30" customHeight="1">
      <c r="A25" s="29" t="s">
        <v>9</v>
      </c>
      <c r="B25" s="10" t="s">
        <v>34</v>
      </c>
      <c r="C25" s="11">
        <f>4750+150+100+13590</f>
        <v>18590</v>
      </c>
      <c r="D25" s="11">
        <v>0</v>
      </c>
      <c r="E25" s="11">
        <v>0</v>
      </c>
      <c r="F25" s="11">
        <v>0</v>
      </c>
      <c r="G25" s="28">
        <f t="shared" si="0"/>
        <v>18590</v>
      </c>
    </row>
    <row r="26" spans="1:7" ht="30" customHeight="1" thickBot="1">
      <c r="A26" s="31" t="s">
        <v>69</v>
      </c>
      <c r="B26" s="32" t="s">
        <v>37</v>
      </c>
      <c r="C26" s="33">
        <f>6362</f>
        <v>6362</v>
      </c>
      <c r="D26" s="33">
        <v>0</v>
      </c>
      <c r="E26" s="33">
        <v>0</v>
      </c>
      <c r="F26" s="33">
        <v>0</v>
      </c>
      <c r="G26" s="34">
        <f t="shared" si="0"/>
        <v>6362</v>
      </c>
    </row>
    <row r="27" ht="30" customHeight="1">
      <c r="A27" s="8"/>
    </row>
    <row r="28" ht="30" customHeight="1"/>
    <row r="29" spans="1:7" ht="30" customHeight="1">
      <c r="A29" s="8"/>
      <c r="G29" s="23" t="s">
        <v>60</v>
      </c>
    </row>
    <row r="30" spans="1:7" ht="30" customHeight="1">
      <c r="A30" s="8" t="s">
        <v>59</v>
      </c>
      <c r="G30" s="22" t="s">
        <v>71</v>
      </c>
    </row>
    <row r="31" ht="30" customHeight="1">
      <c r="A31" s="20"/>
    </row>
    <row r="32" ht="30" customHeight="1">
      <c r="A32" s="20"/>
    </row>
    <row r="33" ht="30" customHeight="1">
      <c r="A33" s="20"/>
    </row>
    <row r="34" ht="30" customHeight="1">
      <c r="A34" s="20"/>
    </row>
    <row r="35" ht="12.75">
      <c r="A35" s="20"/>
    </row>
    <row r="36" ht="12.75">
      <c r="A36" s="20"/>
    </row>
    <row r="37" ht="12.75">
      <c r="A37" s="20"/>
    </row>
    <row r="38" ht="12.75">
      <c r="A38" s="20"/>
    </row>
    <row r="39" ht="12.75">
      <c r="A39" s="20"/>
    </row>
    <row r="40" ht="12.75">
      <c r="A40" s="20"/>
    </row>
    <row r="41" ht="12.75">
      <c r="A41" s="20"/>
    </row>
    <row r="42" ht="12.75">
      <c r="A42" s="20"/>
    </row>
    <row r="43" ht="12.75">
      <c r="A43" s="20"/>
    </row>
    <row r="44" ht="12.75">
      <c r="A44" s="20"/>
    </row>
    <row r="45" ht="12.75">
      <c r="A45" s="20"/>
    </row>
    <row r="46" ht="12.75">
      <c r="A46" s="20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</sheetData>
  <mergeCells count="5">
    <mergeCell ref="A22:A23"/>
    <mergeCell ref="A2:F2"/>
    <mergeCell ref="A3:F4"/>
    <mergeCell ref="A6:A8"/>
    <mergeCell ref="A9:A10"/>
  </mergeCells>
  <printOptions/>
  <pageMargins left="0.5905511811023623" right="0.5905511811023623" top="0.984251968503937" bottom="0.984251968503937" header="0.5118110236220472" footer="0.5118110236220472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6"/>
  <sheetViews>
    <sheetView tabSelected="1" workbookViewId="0" topLeftCell="A2">
      <selection activeCell="C5" sqref="C5:D57"/>
    </sheetView>
  </sheetViews>
  <sheetFormatPr defaultColWidth="9.140625" defaultRowHeight="12.75"/>
  <cols>
    <col min="1" max="1" width="34.28125" style="0" customWidth="1"/>
    <col min="2" max="2" width="21.140625" style="3" customWidth="1"/>
    <col min="3" max="3" width="12.00390625" style="0" bestFit="1" customWidth="1"/>
    <col min="4" max="4" width="12.57421875" style="0" customWidth="1"/>
    <col min="5" max="5" width="14.00390625" style="63" customWidth="1"/>
    <col min="6" max="6" width="20.57421875" style="0" customWidth="1"/>
    <col min="8" max="8" width="12.28125" style="0" customWidth="1"/>
    <col min="9" max="9" width="11.28125" style="0" customWidth="1"/>
  </cols>
  <sheetData>
    <row r="1" spans="1:5" ht="14.25" thickBot="1" thickTop="1">
      <c r="A1" s="4" t="s">
        <v>27</v>
      </c>
      <c r="E1" s="62" t="s">
        <v>26</v>
      </c>
    </row>
    <row r="2" spans="1:5" ht="22.5" customHeight="1" thickTop="1">
      <c r="A2" s="90" t="s">
        <v>79</v>
      </c>
      <c r="B2" s="90"/>
      <c r="C2" s="90"/>
      <c r="D2" s="90"/>
      <c r="E2" s="90"/>
    </row>
    <row r="3" ht="22.5" customHeight="1" thickBot="1"/>
    <row r="4" spans="1:5" s="13" customFormat="1" ht="40.5" customHeight="1" thickBot="1">
      <c r="A4" s="52" t="s">
        <v>32</v>
      </c>
      <c r="B4" s="35" t="s">
        <v>90</v>
      </c>
      <c r="C4" s="36" t="s">
        <v>91</v>
      </c>
      <c r="D4" s="54" t="s">
        <v>89</v>
      </c>
      <c r="E4" s="59" t="s">
        <v>92</v>
      </c>
    </row>
    <row r="5" spans="1:5" ht="33" customHeight="1">
      <c r="A5" s="97" t="s">
        <v>74</v>
      </c>
      <c r="B5" s="98" t="s">
        <v>93</v>
      </c>
      <c r="C5" s="108">
        <f>236+932.4+1792.34+1416.78+2535.44+9438.86+382.8+520+454+624.06+1196+574+1553+506+6571.09+509+3755+150+360+745+695+2637+2600+825+250+1200+147+150+145+1000+6500+29300+4000+30000+3000+1000+45000+900+7000+22600+435+350+1725+11000+90+7500+12000+900+30000+1500+9800+3789.25+1500+3390+900+10400+275+800+3789+4690+4690+4499.95+16000+4500+1500+3000+4499.95</f>
        <v>336723.92000000004</v>
      </c>
      <c r="D5" s="109">
        <f>5000+8000+8000+5000+4000+7000+1350+4390+4773+1650+14000+4390+4690+5000+3500+12000</f>
        <v>92743</v>
      </c>
      <c r="E5" s="64">
        <f>C5+D5</f>
        <v>429466.92000000004</v>
      </c>
    </row>
    <row r="6" spans="1:5" ht="33.75" customHeight="1">
      <c r="A6" s="95"/>
      <c r="B6" s="99" t="s">
        <v>2</v>
      </c>
      <c r="C6" s="110">
        <f>243+2211.1+2018.35+462.15+181+140+789.5+3477.4+560+184.75+119.3+490+130+499+450+2106.25+900+800</f>
        <v>15761.8</v>
      </c>
      <c r="D6" s="111">
        <f>645+645</f>
        <v>1290</v>
      </c>
      <c r="E6" s="65">
        <f aca="true" t="shared" si="0" ref="E6:E12">C6+D6</f>
        <v>17051.8</v>
      </c>
    </row>
    <row r="7" spans="1:5" ht="33.75" customHeight="1">
      <c r="A7" s="95"/>
      <c r="B7" s="99" t="s">
        <v>3</v>
      </c>
      <c r="C7" s="110">
        <f>600+831.2+356.75+750+827</f>
        <v>3364.95</v>
      </c>
      <c r="D7" s="111">
        <v>0</v>
      </c>
      <c r="E7" s="65">
        <f t="shared" si="0"/>
        <v>3364.95</v>
      </c>
    </row>
    <row r="8" spans="1:9" ht="31.5" customHeight="1">
      <c r="A8" s="94"/>
      <c r="B8" s="100" t="s">
        <v>4</v>
      </c>
      <c r="C8" s="112">
        <f>381.5+45+297.2+503.5+598.75+51.25+442.5+85.6+165+218+126+259.5+74+1200</f>
        <v>4447.799999999999</v>
      </c>
      <c r="D8" s="113">
        <f>3630+500+1000+5400+700</f>
        <v>11230</v>
      </c>
      <c r="E8" s="66">
        <f t="shared" si="0"/>
        <v>15677.8</v>
      </c>
      <c r="F8" s="61">
        <f>SUM(E5:E8)</f>
        <v>465561.47000000003</v>
      </c>
      <c r="H8">
        <f>360298.47+105263</f>
        <v>465561.47</v>
      </c>
      <c r="I8" s="6">
        <f>F8-H8</f>
        <v>0</v>
      </c>
    </row>
    <row r="9" spans="1:9" ht="33.75" customHeight="1">
      <c r="A9" s="93" t="s">
        <v>5</v>
      </c>
      <c r="B9" s="101" t="s">
        <v>93</v>
      </c>
      <c r="C9" s="114">
        <f>3110.5+4388.5+900+1078+100+490+224.5+1362</f>
        <v>11653.5</v>
      </c>
      <c r="D9" s="115">
        <v>0</v>
      </c>
      <c r="E9" s="67">
        <f t="shared" si="0"/>
        <v>11653.5</v>
      </c>
      <c r="I9" s="6">
        <f aca="true" t="shared" si="1" ref="I9:I31">F9-H9</f>
        <v>0</v>
      </c>
    </row>
    <row r="10" spans="1:9" ht="33.75" customHeight="1">
      <c r="A10" s="95"/>
      <c r="B10" s="99" t="s">
        <v>2</v>
      </c>
      <c r="C10" s="110">
        <f>4598.75</f>
        <v>4598.75</v>
      </c>
      <c r="D10" s="111">
        <v>0</v>
      </c>
      <c r="E10" s="65">
        <f t="shared" si="0"/>
        <v>4598.75</v>
      </c>
      <c r="I10" s="6">
        <f t="shared" si="1"/>
        <v>0</v>
      </c>
    </row>
    <row r="11" spans="1:9" ht="33.75" customHeight="1">
      <c r="A11" s="95"/>
      <c r="B11" s="99" t="s">
        <v>3</v>
      </c>
      <c r="C11" s="110">
        <f>5483+81000+1600+100+130+400+1158.76+4000+14800</f>
        <v>108671.76</v>
      </c>
      <c r="D11" s="111">
        <v>0</v>
      </c>
      <c r="E11" s="65">
        <f t="shared" si="0"/>
        <v>108671.76</v>
      </c>
      <c r="I11" s="6">
        <f t="shared" si="1"/>
        <v>0</v>
      </c>
    </row>
    <row r="12" spans="1:9" ht="33.75" customHeight="1">
      <c r="A12" s="94"/>
      <c r="B12" s="100" t="s">
        <v>4</v>
      </c>
      <c r="C12" s="112">
        <f>155+1027.86+55.8+5+64.5+44</f>
        <v>1352.1599999999999</v>
      </c>
      <c r="D12" s="113">
        <v>0</v>
      </c>
      <c r="E12" s="66">
        <f t="shared" si="0"/>
        <v>1352.1599999999999</v>
      </c>
      <c r="F12" s="61">
        <f>SUM(E9:E12)</f>
        <v>126276.17</v>
      </c>
      <c r="I12" s="6">
        <f t="shared" si="1"/>
        <v>126276.17</v>
      </c>
    </row>
    <row r="13" spans="1:9" ht="33.75" customHeight="1">
      <c r="A13" s="93" t="s">
        <v>6</v>
      </c>
      <c r="B13" s="101" t="s">
        <v>93</v>
      </c>
      <c r="C13" s="114">
        <f>1500+1028+1126+19196.9+2500+3398+1159+1171+7888+12000+1646.38+12425+1750+1800+1200+65000+364590+35772+75000</f>
        <v>610150.28</v>
      </c>
      <c r="D13" s="115">
        <v>0</v>
      </c>
      <c r="E13" s="67">
        <f aca="true" t="shared" si="2" ref="E13:E29">C13+D13</f>
        <v>610150.28</v>
      </c>
      <c r="I13" s="6">
        <f t="shared" si="1"/>
        <v>0</v>
      </c>
    </row>
    <row r="14" spans="1:9" ht="33.75" customHeight="1">
      <c r="A14" s="95"/>
      <c r="B14" s="99" t="s">
        <v>2</v>
      </c>
      <c r="C14" s="110">
        <f>1299+1183.45+2150.75</f>
        <v>4633.2</v>
      </c>
      <c r="D14" s="111">
        <v>0</v>
      </c>
      <c r="E14" s="65">
        <f t="shared" si="2"/>
        <v>4633.2</v>
      </c>
      <c r="I14" s="6">
        <f t="shared" si="1"/>
        <v>0</v>
      </c>
    </row>
    <row r="15" spans="1:9" ht="33.75" customHeight="1">
      <c r="A15" s="95"/>
      <c r="B15" s="99" t="s">
        <v>3</v>
      </c>
      <c r="C15" s="110">
        <f>1381.2+2818.2+3529.8+80000+20000</f>
        <v>107729.2</v>
      </c>
      <c r="D15" s="111">
        <v>0</v>
      </c>
      <c r="E15" s="65">
        <f t="shared" si="2"/>
        <v>107729.2</v>
      </c>
      <c r="I15" s="6">
        <f t="shared" si="1"/>
        <v>0</v>
      </c>
    </row>
    <row r="16" spans="1:9" ht="33.75" customHeight="1">
      <c r="A16" s="94"/>
      <c r="B16" s="100" t="s">
        <v>4</v>
      </c>
      <c r="C16" s="112">
        <f>4265+1682+2730+1122+5040+5249.9+9030.25+675+912</f>
        <v>30706.15</v>
      </c>
      <c r="D16" s="113">
        <v>0</v>
      </c>
      <c r="E16" s="66">
        <f t="shared" si="2"/>
        <v>30706.15</v>
      </c>
      <c r="F16" s="61">
        <f>SUM(E13:E16)</f>
        <v>753218.83</v>
      </c>
      <c r="I16" s="6">
        <f t="shared" si="1"/>
        <v>753218.83</v>
      </c>
    </row>
    <row r="17" spans="1:9" ht="33.75" customHeight="1">
      <c r="A17" s="91" t="s">
        <v>33</v>
      </c>
      <c r="B17" s="102" t="s">
        <v>93</v>
      </c>
      <c r="C17" s="116">
        <f>1282+7679.25+2249.5+3150+48963+5700+3142+1800+5750+68100+8000+25000+46265+74074+3060+700+8980+1335+6000+8730+400</f>
        <v>330359.75</v>
      </c>
      <c r="D17" s="117">
        <f>15000+400+1500+4000+1000+3979+4600+517.5+460+950+650+700+2380.5+3392.5+201.25+431.25+1200+4500+10800+8100+1800+18000+27500+4500+250+150+370+3600+6300+9000+250</f>
        <v>136482</v>
      </c>
      <c r="E17" s="68">
        <f t="shared" si="2"/>
        <v>466841.75</v>
      </c>
      <c r="I17" s="6">
        <f t="shared" si="1"/>
        <v>0</v>
      </c>
    </row>
    <row r="18" spans="1:9" ht="33.75" customHeight="1">
      <c r="A18" s="91"/>
      <c r="B18" s="99" t="s">
        <v>2</v>
      </c>
      <c r="C18" s="110">
        <f>2280</f>
        <v>2280</v>
      </c>
      <c r="D18" s="111">
        <v>0</v>
      </c>
      <c r="E18" s="65">
        <f t="shared" si="2"/>
        <v>2280</v>
      </c>
      <c r="I18" s="6">
        <f t="shared" si="1"/>
        <v>0</v>
      </c>
    </row>
    <row r="19" spans="1:9" ht="30.75" customHeight="1">
      <c r="A19" s="91"/>
      <c r="B19" s="99" t="s">
        <v>3</v>
      </c>
      <c r="C19" s="110">
        <f>4454.25+8000+25000+3500+2600+3500+300</f>
        <v>47354.25</v>
      </c>
      <c r="D19" s="111">
        <f>1500+1500+200</f>
        <v>3200</v>
      </c>
      <c r="E19" s="65">
        <f t="shared" si="2"/>
        <v>50554.25</v>
      </c>
      <c r="I19" s="6">
        <f t="shared" si="1"/>
        <v>0</v>
      </c>
    </row>
    <row r="20" spans="1:9" ht="33.75" customHeight="1">
      <c r="A20" s="91"/>
      <c r="B20" s="99" t="s">
        <v>94</v>
      </c>
      <c r="C20" s="110">
        <f>9300+78+5000+30+750+400+4125+400+960+88+1200+600+6250+8000+204+210+8800+600+1700+400+1110+350+420+2540+500+700+800+3400</f>
        <v>58915</v>
      </c>
      <c r="D20" s="111">
        <f>2000+8640+10800+4000+6400+19200+16000+29600+29600+22000+8400+16000+5200+18000+9600+54400+20400+1740+1200+6000+130+5800</f>
        <v>295110</v>
      </c>
      <c r="E20" s="65">
        <f t="shared" si="2"/>
        <v>354025</v>
      </c>
      <c r="I20" s="6">
        <f t="shared" si="1"/>
        <v>0</v>
      </c>
    </row>
    <row r="21" spans="1:9" ht="33.75" customHeight="1" thickBot="1">
      <c r="A21" s="92"/>
      <c r="B21" s="103" t="s">
        <v>4</v>
      </c>
      <c r="C21" s="118">
        <v>0</v>
      </c>
      <c r="D21" s="119">
        <f>3253.8+5800</f>
        <v>9053.8</v>
      </c>
      <c r="E21" s="69">
        <f t="shared" si="2"/>
        <v>9053.8</v>
      </c>
      <c r="F21" s="61">
        <f>SUM(E17:E21)</f>
        <v>882754.8</v>
      </c>
      <c r="H21">
        <f>438909+443845.8</f>
        <v>882754.8</v>
      </c>
      <c r="I21" s="6">
        <f t="shared" si="1"/>
        <v>0</v>
      </c>
    </row>
    <row r="22" spans="1:9" ht="32.25" customHeight="1">
      <c r="A22" s="95" t="s">
        <v>76</v>
      </c>
      <c r="B22" s="102" t="s">
        <v>93</v>
      </c>
      <c r="C22" s="116">
        <f>1500+4828+27394+12355+239.5+27275+4900+200+8000+7647+25000+28000+990+990+50</f>
        <v>149368.5</v>
      </c>
      <c r="D22" s="117">
        <v>0</v>
      </c>
      <c r="E22" s="68">
        <f t="shared" si="2"/>
        <v>149368.5</v>
      </c>
      <c r="I22" s="6">
        <f t="shared" si="1"/>
        <v>0</v>
      </c>
    </row>
    <row r="23" spans="1:9" ht="30.75" customHeight="1">
      <c r="A23" s="95"/>
      <c r="B23" s="99" t="s">
        <v>3</v>
      </c>
      <c r="C23" s="110">
        <f>200+500+850+4963+13300+20000+36033+800</f>
        <v>76646</v>
      </c>
      <c r="D23" s="111">
        <v>0</v>
      </c>
      <c r="E23" s="65">
        <f t="shared" si="2"/>
        <v>76646</v>
      </c>
      <c r="I23" s="6">
        <f t="shared" si="1"/>
        <v>0</v>
      </c>
    </row>
    <row r="24" spans="1:9" ht="33.75" customHeight="1">
      <c r="A24" s="96"/>
      <c r="B24" s="100" t="s">
        <v>4</v>
      </c>
      <c r="C24" s="112">
        <f>10509.46+14667.62+1798.46+60480</f>
        <v>87455.54000000001</v>
      </c>
      <c r="D24" s="113">
        <v>0</v>
      </c>
      <c r="E24" s="66">
        <f t="shared" si="2"/>
        <v>87455.54000000001</v>
      </c>
      <c r="F24" s="61">
        <f>SUM(E22:E24)</f>
        <v>313470.04000000004</v>
      </c>
      <c r="I24" s="6">
        <f t="shared" si="1"/>
        <v>313470.04000000004</v>
      </c>
    </row>
    <row r="25" spans="1:9" ht="33.75" customHeight="1">
      <c r="A25" s="93" t="s">
        <v>36</v>
      </c>
      <c r="B25" s="101" t="s">
        <v>93</v>
      </c>
      <c r="C25" s="114">
        <f>9000+22313+20000+14475+2000+2500+25900+7000</f>
        <v>103188</v>
      </c>
      <c r="D25" s="115">
        <f>900+450+300+15000+3100+950+7500+100+300+16500</f>
        <v>45100</v>
      </c>
      <c r="E25" s="67">
        <f t="shared" si="2"/>
        <v>148288</v>
      </c>
      <c r="I25" s="6">
        <f>F25-H25</f>
        <v>0</v>
      </c>
    </row>
    <row r="26" spans="1:9" ht="33.75" customHeight="1">
      <c r="A26" s="95"/>
      <c r="B26" s="99" t="s">
        <v>3</v>
      </c>
      <c r="C26" s="110">
        <f>82222+243581.97</f>
        <v>325803.97</v>
      </c>
      <c r="D26" s="111">
        <f>1300</f>
        <v>1300</v>
      </c>
      <c r="E26" s="65">
        <f t="shared" si="2"/>
        <v>327103.97</v>
      </c>
      <c r="I26" s="6">
        <f t="shared" si="1"/>
        <v>0</v>
      </c>
    </row>
    <row r="27" spans="1:9" ht="33.75" customHeight="1">
      <c r="A27" s="94"/>
      <c r="B27" s="100" t="s">
        <v>4</v>
      </c>
      <c r="C27" s="112">
        <f>9735+3000+420</f>
        <v>13155</v>
      </c>
      <c r="D27" s="113">
        <f>1350+450+600+3600+1350+450+600+1100+945+525+9025+1050+480+500+900+800+7000+800+1800+1600</f>
        <v>34925</v>
      </c>
      <c r="E27" s="66">
        <f t="shared" si="2"/>
        <v>48080</v>
      </c>
      <c r="F27" s="61">
        <f>SUM(E25:E27)</f>
        <v>523471.97</v>
      </c>
      <c r="H27">
        <f>442146.97+81325</f>
        <v>523471.97</v>
      </c>
      <c r="I27" s="6">
        <f t="shared" si="1"/>
        <v>0</v>
      </c>
    </row>
    <row r="28" spans="1:9" ht="33.75" customHeight="1">
      <c r="A28" s="93" t="s">
        <v>7</v>
      </c>
      <c r="B28" s="101" t="s">
        <v>93</v>
      </c>
      <c r="C28" s="114">
        <f>350+1400+4900+5187+10000+6640+6570+3705+3905.75+4500+1150+6000+15000+3500</f>
        <v>72807.75</v>
      </c>
      <c r="D28" s="115">
        <f>25000</f>
        <v>25000</v>
      </c>
      <c r="E28" s="67">
        <f t="shared" si="2"/>
        <v>97807.75</v>
      </c>
      <c r="I28" s="6">
        <f t="shared" si="1"/>
        <v>0</v>
      </c>
    </row>
    <row r="29" spans="1:9" ht="33.75" customHeight="1">
      <c r="A29" s="94"/>
      <c r="B29" s="100" t="s">
        <v>3</v>
      </c>
      <c r="C29" s="112">
        <f>9000+4300+100+15000</f>
        <v>28400</v>
      </c>
      <c r="D29" s="113">
        <v>0</v>
      </c>
      <c r="E29" s="66">
        <f t="shared" si="2"/>
        <v>28400</v>
      </c>
      <c r="F29" s="6">
        <f>E29+E28</f>
        <v>126207.75</v>
      </c>
      <c r="H29">
        <f>101207.75+25000</f>
        <v>126207.75</v>
      </c>
      <c r="I29" s="6">
        <f t="shared" si="1"/>
        <v>0</v>
      </c>
    </row>
    <row r="30" spans="1:9" ht="33.75" customHeight="1">
      <c r="A30" s="58" t="s">
        <v>8</v>
      </c>
      <c r="B30" s="104" t="s">
        <v>93</v>
      </c>
      <c r="C30" s="11">
        <f>600+1790+900+5220+1995+104200+600+450+900</f>
        <v>116655</v>
      </c>
      <c r="D30" s="120">
        <v>0</v>
      </c>
      <c r="E30" s="70">
        <f aca="true" t="shared" si="3" ref="E30:E57">C30+D30</f>
        <v>116655</v>
      </c>
      <c r="I30" s="6">
        <f t="shared" si="1"/>
        <v>0</v>
      </c>
    </row>
    <row r="31" spans="1:9" ht="33.75" customHeight="1">
      <c r="A31" s="58" t="s">
        <v>9</v>
      </c>
      <c r="B31" s="104" t="s">
        <v>93</v>
      </c>
      <c r="C31" s="11">
        <f>88200+21000+7000</f>
        <v>116200</v>
      </c>
      <c r="D31" s="120">
        <f>4750+150+100+13590</f>
        <v>18590</v>
      </c>
      <c r="E31" s="70">
        <f t="shared" si="3"/>
        <v>134790</v>
      </c>
      <c r="F31" s="61">
        <f>C31+D31</f>
        <v>134790</v>
      </c>
      <c r="H31">
        <f>116200+18590</f>
        <v>134790</v>
      </c>
      <c r="I31" s="6">
        <f t="shared" si="1"/>
        <v>0</v>
      </c>
    </row>
    <row r="32" spans="1:8" ht="33.75" customHeight="1">
      <c r="A32" s="58" t="s">
        <v>10</v>
      </c>
      <c r="B32" s="104" t="s">
        <v>93</v>
      </c>
      <c r="C32" s="11">
        <f>19015+63724+18600+55000+66294+5455+70145.75+6990+12015+2750</f>
        <v>319988.75</v>
      </c>
      <c r="D32" s="120">
        <f>13910</f>
        <v>13910</v>
      </c>
      <c r="E32" s="70">
        <f t="shared" si="3"/>
        <v>333898.75</v>
      </c>
      <c r="H32">
        <f>319988.75+13910</f>
        <v>333898.75</v>
      </c>
    </row>
    <row r="33" spans="1:5" ht="33.75" customHeight="1">
      <c r="A33" s="58" t="s">
        <v>11</v>
      </c>
      <c r="B33" s="104" t="s">
        <v>93</v>
      </c>
      <c r="C33" s="11">
        <f>55000+30000+9200+5000+30000+50000+3370+11440</f>
        <v>194010</v>
      </c>
      <c r="D33" s="120">
        <f>3800+3790</f>
        <v>7590</v>
      </c>
      <c r="E33" s="70">
        <f t="shared" si="3"/>
        <v>201600</v>
      </c>
    </row>
    <row r="34" spans="1:5" ht="33.75" customHeight="1">
      <c r="A34" s="58" t="s">
        <v>12</v>
      </c>
      <c r="B34" s="104" t="s">
        <v>93</v>
      </c>
      <c r="C34" s="11">
        <f>4600</f>
        <v>4600</v>
      </c>
      <c r="D34" s="120">
        <v>0</v>
      </c>
      <c r="E34" s="70">
        <f t="shared" si="3"/>
        <v>4600</v>
      </c>
    </row>
    <row r="35" spans="1:5" ht="33.75" customHeight="1">
      <c r="A35" s="53" t="s">
        <v>80</v>
      </c>
      <c r="B35" s="105" t="s">
        <v>93</v>
      </c>
      <c r="C35" s="15">
        <f>46080+650+9900+12000+1100+1600+3500+9900+8990</f>
        <v>93720</v>
      </c>
      <c r="D35" s="121">
        <v>0</v>
      </c>
      <c r="E35" s="71">
        <f t="shared" si="3"/>
        <v>93720</v>
      </c>
    </row>
    <row r="36" spans="1:5" ht="33.75" customHeight="1">
      <c r="A36" s="58" t="s">
        <v>14</v>
      </c>
      <c r="B36" s="104" t="s">
        <v>93</v>
      </c>
      <c r="C36" s="11">
        <f>99500+2400</f>
        <v>101900</v>
      </c>
      <c r="D36" s="120">
        <v>0</v>
      </c>
      <c r="E36" s="70">
        <f t="shared" si="3"/>
        <v>101900</v>
      </c>
    </row>
    <row r="37" spans="1:5" ht="35.25" customHeight="1" thickBot="1">
      <c r="A37" s="60" t="s">
        <v>15</v>
      </c>
      <c r="B37" s="106" t="s">
        <v>93</v>
      </c>
      <c r="C37" s="33">
        <f>12460</f>
        <v>12460</v>
      </c>
      <c r="D37" s="122">
        <v>0</v>
      </c>
      <c r="E37" s="72">
        <f t="shared" si="3"/>
        <v>12460</v>
      </c>
    </row>
    <row r="38" spans="1:5" ht="32.25" customHeight="1">
      <c r="A38" s="53" t="s">
        <v>81</v>
      </c>
      <c r="B38" s="105" t="s">
        <v>93</v>
      </c>
      <c r="C38" s="15">
        <v>5060</v>
      </c>
      <c r="D38" s="121">
        <v>0</v>
      </c>
      <c r="E38" s="71">
        <f t="shared" si="3"/>
        <v>5060</v>
      </c>
    </row>
    <row r="39" spans="1:5" ht="33.75" customHeight="1">
      <c r="A39" s="93" t="s">
        <v>17</v>
      </c>
      <c r="B39" s="101" t="s">
        <v>93</v>
      </c>
      <c r="C39" s="114">
        <f>1500</f>
        <v>1500</v>
      </c>
      <c r="D39" s="115">
        <v>0</v>
      </c>
      <c r="E39" s="67">
        <f t="shared" si="3"/>
        <v>1500</v>
      </c>
    </row>
    <row r="40" spans="1:5" ht="33.75" customHeight="1">
      <c r="A40" s="95"/>
      <c r="B40" s="99" t="s">
        <v>94</v>
      </c>
      <c r="C40" s="110">
        <v>300</v>
      </c>
      <c r="D40" s="111">
        <v>0</v>
      </c>
      <c r="E40" s="65">
        <f t="shared" si="3"/>
        <v>300</v>
      </c>
    </row>
    <row r="41" spans="1:5" ht="33.75" customHeight="1">
      <c r="A41" s="96"/>
      <c r="B41" s="100" t="s">
        <v>4</v>
      </c>
      <c r="C41" s="112">
        <v>0</v>
      </c>
      <c r="D41" s="113">
        <v>750.45</v>
      </c>
      <c r="E41" s="66">
        <f t="shared" si="3"/>
        <v>750.45</v>
      </c>
    </row>
    <row r="42" spans="1:5" ht="37.5" customHeight="1">
      <c r="A42" s="58" t="s">
        <v>18</v>
      </c>
      <c r="B42" s="104" t="s">
        <v>93</v>
      </c>
      <c r="C42" s="11">
        <f>7800+7048+7957</f>
        <v>22805</v>
      </c>
      <c r="D42" s="120">
        <v>0</v>
      </c>
      <c r="E42" s="70">
        <f t="shared" si="3"/>
        <v>22805</v>
      </c>
    </row>
    <row r="43" spans="1:5" ht="37.5" customHeight="1">
      <c r="A43" s="58" t="s">
        <v>82</v>
      </c>
      <c r="B43" s="104" t="s">
        <v>93</v>
      </c>
      <c r="C43" s="11">
        <f>14900</f>
        <v>14900</v>
      </c>
      <c r="D43" s="120">
        <v>0</v>
      </c>
      <c r="E43" s="70">
        <f t="shared" si="3"/>
        <v>14900</v>
      </c>
    </row>
    <row r="44" spans="1:5" ht="37.5" customHeight="1">
      <c r="A44" s="93" t="s">
        <v>83</v>
      </c>
      <c r="B44" s="101" t="s">
        <v>93</v>
      </c>
      <c r="C44" s="114">
        <f>2800+2800+13000</f>
        <v>18600</v>
      </c>
      <c r="D44" s="115">
        <v>0</v>
      </c>
      <c r="E44" s="67">
        <f t="shared" si="3"/>
        <v>18600</v>
      </c>
    </row>
    <row r="45" spans="1:5" ht="37.5" customHeight="1">
      <c r="A45" s="94"/>
      <c r="B45" s="100" t="s">
        <v>4</v>
      </c>
      <c r="C45" s="112"/>
      <c r="D45" s="113">
        <f>47084.2</f>
        <v>47084.2</v>
      </c>
      <c r="E45" s="66">
        <f t="shared" si="3"/>
        <v>47084.2</v>
      </c>
    </row>
    <row r="46" spans="1:5" ht="37.5" customHeight="1">
      <c r="A46" s="58" t="s">
        <v>84</v>
      </c>
      <c r="B46" s="104" t="s">
        <v>93</v>
      </c>
      <c r="C46" s="11">
        <v>5260</v>
      </c>
      <c r="D46" s="120">
        <f>5000+45000+6700+300+45000+5000</f>
        <v>107000</v>
      </c>
      <c r="E46" s="70">
        <f t="shared" si="3"/>
        <v>112260</v>
      </c>
    </row>
    <row r="47" spans="1:5" ht="37.5" customHeight="1">
      <c r="A47" s="58" t="s">
        <v>85</v>
      </c>
      <c r="B47" s="104" t="s">
        <v>93</v>
      </c>
      <c r="C47" s="11">
        <f>8275+6200+2790</f>
        <v>17265</v>
      </c>
      <c r="D47" s="120">
        <v>0</v>
      </c>
      <c r="E47" s="70">
        <f t="shared" si="3"/>
        <v>17265</v>
      </c>
    </row>
    <row r="48" spans="1:5" ht="37.5" customHeight="1">
      <c r="A48" s="58" t="s">
        <v>23</v>
      </c>
      <c r="B48" s="104" t="s">
        <v>93</v>
      </c>
      <c r="C48" s="11">
        <f>4390+4689</f>
        <v>9079</v>
      </c>
      <c r="D48" s="120">
        <v>0</v>
      </c>
      <c r="E48" s="70">
        <f t="shared" si="3"/>
        <v>9079</v>
      </c>
    </row>
    <row r="49" spans="1:5" ht="37.5" customHeight="1">
      <c r="A49" s="58" t="s">
        <v>24</v>
      </c>
      <c r="B49" s="104" t="s">
        <v>93</v>
      </c>
      <c r="C49" s="11">
        <f>5000+1400+2900+6000+4000+27000+27000+36745+451480</f>
        <v>561525</v>
      </c>
      <c r="D49" s="120">
        <v>0</v>
      </c>
      <c r="E49" s="70">
        <f t="shared" si="3"/>
        <v>561525</v>
      </c>
    </row>
    <row r="50" spans="1:5" ht="37.5" customHeight="1">
      <c r="A50" s="58" t="s">
        <v>25</v>
      </c>
      <c r="B50" s="104" t="s">
        <v>93</v>
      </c>
      <c r="C50" s="11">
        <f>8000+750+2500+1500+175</f>
        <v>12925</v>
      </c>
      <c r="D50" s="120">
        <v>0</v>
      </c>
      <c r="E50" s="70">
        <f t="shared" si="3"/>
        <v>12925</v>
      </c>
    </row>
    <row r="51" spans="1:5" ht="37.5" customHeight="1">
      <c r="A51" s="49" t="s">
        <v>86</v>
      </c>
      <c r="B51" s="104" t="s">
        <v>93</v>
      </c>
      <c r="C51" s="11">
        <v>0</v>
      </c>
      <c r="D51" s="120">
        <v>4990</v>
      </c>
      <c r="E51" s="70">
        <f t="shared" si="3"/>
        <v>4990</v>
      </c>
    </row>
    <row r="52" spans="1:5" ht="46.5" customHeight="1" thickBot="1">
      <c r="A52" s="47" t="s">
        <v>87</v>
      </c>
      <c r="B52" s="106" t="s">
        <v>93</v>
      </c>
      <c r="C52" s="33">
        <v>0</v>
      </c>
      <c r="D52" s="122">
        <f>33200+25779</f>
        <v>58979</v>
      </c>
      <c r="E52" s="72">
        <f t="shared" si="3"/>
        <v>58979</v>
      </c>
    </row>
    <row r="53" spans="1:5" ht="32.25" customHeight="1">
      <c r="A53" s="48" t="s">
        <v>88</v>
      </c>
      <c r="B53" s="105" t="s">
        <v>93</v>
      </c>
      <c r="C53" s="15">
        <v>0</v>
      </c>
      <c r="D53" s="121">
        <v>4689</v>
      </c>
      <c r="E53" s="71">
        <f t="shared" si="3"/>
        <v>4689</v>
      </c>
    </row>
    <row r="54" spans="1:5" ht="33" customHeight="1">
      <c r="A54" s="49" t="s">
        <v>55</v>
      </c>
      <c r="B54" s="104" t="s">
        <v>93</v>
      </c>
      <c r="C54" s="11">
        <v>0</v>
      </c>
      <c r="D54" s="120">
        <f>1150</f>
        <v>1150</v>
      </c>
      <c r="E54" s="70">
        <f t="shared" si="3"/>
        <v>1150</v>
      </c>
    </row>
    <row r="55" spans="1:5" ht="37.5" customHeight="1">
      <c r="A55" s="48" t="s">
        <v>57</v>
      </c>
      <c r="B55" s="105" t="s">
        <v>93</v>
      </c>
      <c r="C55" s="15">
        <v>0</v>
      </c>
      <c r="D55" s="121">
        <f>9900</f>
        <v>9900</v>
      </c>
      <c r="E55" s="71">
        <f t="shared" si="3"/>
        <v>9900</v>
      </c>
    </row>
    <row r="56" spans="1:5" ht="37.5" customHeight="1">
      <c r="A56" s="49" t="s">
        <v>56</v>
      </c>
      <c r="B56" s="104" t="s">
        <v>93</v>
      </c>
      <c r="C56" s="11">
        <v>0</v>
      </c>
      <c r="D56" s="120">
        <f>6362</f>
        <v>6362</v>
      </c>
      <c r="E56" s="70">
        <f t="shared" si="3"/>
        <v>6362</v>
      </c>
    </row>
    <row r="57" spans="1:5" ht="37.5" customHeight="1" thickBot="1">
      <c r="A57" s="55" t="s">
        <v>96</v>
      </c>
      <c r="B57" s="107" t="s">
        <v>93</v>
      </c>
      <c r="C57" s="123">
        <v>0</v>
      </c>
      <c r="D57" s="124">
        <f>7500+17990</f>
        <v>25490</v>
      </c>
      <c r="E57" s="72">
        <f t="shared" si="3"/>
        <v>25490</v>
      </c>
    </row>
    <row r="58" spans="1:5" ht="24" customHeight="1" thickBot="1">
      <c r="A58" s="18"/>
      <c r="B58" s="56"/>
      <c r="C58" s="88" t="s">
        <v>95</v>
      </c>
      <c r="D58" s="89"/>
      <c r="E58" s="73">
        <f>SUM(E5:E57)</f>
        <v>5126198.43</v>
      </c>
    </row>
    <row r="59" spans="1:5" ht="18" customHeight="1">
      <c r="A59" s="18"/>
      <c r="B59" s="56"/>
      <c r="C59" s="19"/>
      <c r="D59" s="19"/>
      <c r="E59" s="74"/>
    </row>
    <row r="60" spans="1:5" ht="18" customHeight="1">
      <c r="A60" s="18"/>
      <c r="B60" s="56"/>
      <c r="C60" s="19"/>
      <c r="D60" s="19"/>
      <c r="E60" s="74"/>
    </row>
    <row r="61" spans="1:5" ht="18" customHeight="1">
      <c r="A61" s="18"/>
      <c r="B61" s="56"/>
      <c r="C61" s="19"/>
      <c r="D61" s="19"/>
      <c r="E61" s="74"/>
    </row>
    <row r="62" spans="1:5" ht="18" customHeight="1">
      <c r="A62" s="18"/>
      <c r="B62" s="56"/>
      <c r="C62" s="19"/>
      <c r="D62" s="19"/>
      <c r="E62" s="74"/>
    </row>
    <row r="63" spans="1:5" ht="16.5" customHeight="1">
      <c r="A63" s="46"/>
      <c r="C63" s="2"/>
      <c r="D63" s="2"/>
      <c r="E63" s="75"/>
    </row>
    <row r="64" spans="1:5" ht="18.75" customHeight="1">
      <c r="A64" s="51"/>
      <c r="C64" s="2"/>
      <c r="D64" s="2"/>
      <c r="E64" s="75"/>
    </row>
    <row r="65" spans="1:5" ht="18" customHeight="1">
      <c r="A65" s="9" t="s">
        <v>59</v>
      </c>
      <c r="C65" s="2"/>
      <c r="D65" s="2"/>
      <c r="E65" s="78" t="s">
        <v>60</v>
      </c>
    </row>
    <row r="66" spans="1:5" ht="17.25" customHeight="1">
      <c r="A66" s="51"/>
      <c r="B66" s="57"/>
      <c r="C66" s="2"/>
      <c r="D66" s="2"/>
      <c r="E66" s="76" t="s">
        <v>61</v>
      </c>
    </row>
    <row r="67" spans="1:5" ht="15" customHeight="1">
      <c r="A67" s="17"/>
      <c r="C67" s="2"/>
      <c r="D67" s="2"/>
      <c r="E67" s="77"/>
    </row>
    <row r="68" spans="1:5" ht="9.75" customHeight="1">
      <c r="A68" s="16"/>
      <c r="C68" s="2"/>
      <c r="D68" s="2"/>
      <c r="E68" s="77"/>
    </row>
    <row r="69" spans="1:5" ht="12.75">
      <c r="A69" s="50"/>
      <c r="C69" s="2"/>
      <c r="D69" s="2"/>
      <c r="E69" s="77"/>
    </row>
    <row r="70" spans="1:5" ht="12.75">
      <c r="A70" s="9"/>
      <c r="C70" s="2"/>
      <c r="D70" s="2"/>
      <c r="E70" s="77"/>
    </row>
    <row r="71" spans="1:5" ht="12.75">
      <c r="A71" s="9"/>
      <c r="C71" s="2"/>
      <c r="D71" s="2"/>
      <c r="E71" s="77"/>
    </row>
    <row r="72" spans="1:5" ht="12.75">
      <c r="A72" s="9"/>
      <c r="C72" s="2"/>
      <c r="D72" s="2"/>
      <c r="E72" s="77"/>
    </row>
    <row r="73" spans="1:5" ht="12.75">
      <c r="A73" s="9"/>
      <c r="C73" s="2"/>
      <c r="D73" s="2"/>
      <c r="E73" s="77"/>
    </row>
    <row r="74" spans="1:5" ht="12.75">
      <c r="A74" s="9"/>
      <c r="C74" s="2"/>
      <c r="D74" s="2"/>
      <c r="E74" s="77"/>
    </row>
    <row r="75" spans="3:5" ht="12.75">
      <c r="C75" s="2"/>
      <c r="D75" s="2"/>
      <c r="E75" s="77"/>
    </row>
    <row r="76" spans="1:5" ht="12.75">
      <c r="A76" s="9"/>
      <c r="C76" s="2"/>
      <c r="D76" s="2"/>
      <c r="E76" s="77"/>
    </row>
    <row r="77" spans="3:5" ht="12.75">
      <c r="C77" s="2"/>
      <c r="D77" s="2"/>
      <c r="E77" s="77"/>
    </row>
    <row r="78" spans="1:5" ht="12.75">
      <c r="A78" s="9"/>
      <c r="C78" s="2"/>
      <c r="D78" s="2"/>
      <c r="E78" s="77"/>
    </row>
    <row r="79" spans="1:5" ht="12.75">
      <c r="A79" s="9"/>
      <c r="C79" s="2"/>
      <c r="D79" s="2"/>
      <c r="E79" s="77"/>
    </row>
    <row r="80" spans="1:5" ht="12.75">
      <c r="A80" s="9"/>
      <c r="C80" s="2"/>
      <c r="D80" s="2"/>
      <c r="E80" s="77"/>
    </row>
    <row r="81" spans="1:5" ht="12.75">
      <c r="A81" s="9"/>
      <c r="C81" s="2"/>
      <c r="D81" s="2"/>
      <c r="E81" s="77"/>
    </row>
    <row r="82" spans="1:5" ht="12.75">
      <c r="A82" s="9"/>
      <c r="C82" s="2"/>
      <c r="D82" s="2"/>
      <c r="E82" s="77"/>
    </row>
    <row r="83" spans="1:5" ht="12.75">
      <c r="A83" s="9"/>
      <c r="C83" s="2"/>
      <c r="D83" s="2"/>
      <c r="E83" s="77"/>
    </row>
    <row r="84" spans="1:5" ht="12.75">
      <c r="A84" s="9"/>
      <c r="C84" s="2"/>
      <c r="D84" s="2"/>
      <c r="E84" s="77"/>
    </row>
    <row r="85" spans="1:5" ht="12.75">
      <c r="A85" s="9"/>
      <c r="C85" s="2"/>
      <c r="D85" s="2"/>
      <c r="E85" s="77"/>
    </row>
    <row r="86" spans="1:5" ht="12.75">
      <c r="A86" s="9"/>
      <c r="C86" s="2"/>
      <c r="D86" s="2"/>
      <c r="E86" s="77"/>
    </row>
    <row r="87" spans="1:5" ht="12.75">
      <c r="A87" s="9"/>
      <c r="C87" s="2"/>
      <c r="D87" s="2"/>
      <c r="E87" s="77"/>
    </row>
    <row r="88" spans="1:5" ht="12.75">
      <c r="A88" s="9"/>
      <c r="C88" s="2"/>
      <c r="D88" s="2"/>
      <c r="E88" s="77"/>
    </row>
    <row r="89" spans="1:5" ht="12.75">
      <c r="A89" s="9"/>
      <c r="C89" s="2"/>
      <c r="D89" s="2"/>
      <c r="E89" s="77"/>
    </row>
    <row r="90" spans="1:5" ht="12.75">
      <c r="A90" s="9"/>
      <c r="C90" s="2"/>
      <c r="D90" s="2"/>
      <c r="E90" s="77"/>
    </row>
    <row r="91" spans="1:5" ht="12.75">
      <c r="A91" s="9"/>
      <c r="C91" s="2"/>
      <c r="D91" s="2"/>
      <c r="E91" s="77"/>
    </row>
    <row r="92" spans="1:5" ht="12.75">
      <c r="A92" s="9"/>
      <c r="C92" s="2"/>
      <c r="D92" s="2"/>
      <c r="E92" s="77"/>
    </row>
    <row r="93" spans="1:5" ht="12.75">
      <c r="A93" s="9"/>
      <c r="C93" s="2"/>
      <c r="D93" s="2"/>
      <c r="E93" s="77"/>
    </row>
    <row r="94" spans="1:5" ht="12.75">
      <c r="A94" s="9"/>
      <c r="C94" s="2"/>
      <c r="D94" s="2"/>
      <c r="E94" s="77"/>
    </row>
    <row r="95" spans="1:5" ht="12.75">
      <c r="A95" s="9"/>
      <c r="C95" s="2"/>
      <c r="D95" s="2"/>
      <c r="E95" s="77"/>
    </row>
    <row r="96" spans="1:5" ht="12.75">
      <c r="A96" s="9"/>
      <c r="C96" s="2"/>
      <c r="D96" s="2"/>
      <c r="E96" s="77"/>
    </row>
    <row r="97" spans="1:5" ht="12.75">
      <c r="A97" s="9"/>
      <c r="C97" s="2"/>
      <c r="D97" s="2"/>
      <c r="E97" s="77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</sheetData>
  <mergeCells count="11">
    <mergeCell ref="A13:A16"/>
    <mergeCell ref="C58:D58"/>
    <mergeCell ref="A2:E2"/>
    <mergeCell ref="A17:A21"/>
    <mergeCell ref="A44:A45"/>
    <mergeCell ref="A39:A41"/>
    <mergeCell ref="A22:A24"/>
    <mergeCell ref="A25:A27"/>
    <mergeCell ref="A28:A29"/>
    <mergeCell ref="A5:A8"/>
    <mergeCell ref="A9:A12"/>
  </mergeCells>
  <printOptions horizontalCentered="1"/>
  <pageMargins left="0.3937007874015748" right="0.3937007874015748" top="0.984251968503937" bottom="0.984251968503937" header="0.5118110236220472" footer="0.3937007874015748"/>
  <pageSetup firstPageNumber="191" useFirstPageNumber="1" horizontalDpi="300" verticalDpi="300" orientation="portrait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Accountant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cp:lastPrinted>2006-03-09T05:54:02Z</cp:lastPrinted>
  <dcterms:created xsi:type="dcterms:W3CDTF">2004-11-09T09:27:22Z</dcterms:created>
  <dcterms:modified xsi:type="dcterms:W3CDTF">2005-11-03T09:42:09Z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35400.0000000000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