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activeTab="0"/>
  </bookViews>
  <sheets>
    <sheet name="Stat M" sheetId="1" r:id="rId1"/>
    <sheet name="Sheet2" sheetId="2" r:id="rId2"/>
    <sheet name="Sheet3" sheetId="3" r:id="rId3"/>
  </sheets>
  <definedNames>
    <definedName name="_xlnm.Print_Area" localSheetId="2">'Sheet3'!$A$4:$F$123</definedName>
    <definedName name="_xlnm.Print_Area" localSheetId="0">'Stat M'!$A$1:$J$282</definedName>
    <definedName name="_xlnm.Print_Titles" localSheetId="2">'Sheet3'!$1:$3</definedName>
    <definedName name="_xlnm.Print_Titles" localSheetId="0">'Stat M'!$1:$7</definedName>
  </definedNames>
  <calcPr fullCalcOnLoad="1"/>
</workbook>
</file>

<file path=xl/sharedStrings.xml><?xml version="1.0" encoding="utf-8"?>
<sst xmlns="http://schemas.openxmlformats.org/spreadsheetml/2006/main" count="511" uniqueCount="340">
  <si>
    <t>Statement of all Outstanding Loans Financed from Revenue</t>
  </si>
  <si>
    <t>Description</t>
  </si>
  <si>
    <t>Year of  Issue</t>
  </si>
  <si>
    <t>Ordinance                                    or                    Authority</t>
  </si>
  <si>
    <t>Original     Amount                            of  Loan</t>
  </si>
  <si>
    <t>Amount repaid/</t>
  </si>
  <si>
    <t>Adjustment due</t>
  </si>
  <si>
    <t>Amount</t>
  </si>
  <si>
    <t>written-off</t>
  </si>
  <si>
    <t>to Currency</t>
  </si>
  <si>
    <t>Outstanding as</t>
  </si>
  <si>
    <t>during</t>
  </si>
  <si>
    <t>revaluation as</t>
  </si>
  <si>
    <t>2003-04</t>
  </si>
  <si>
    <t>I.  LOANS REFUNDABLE BY</t>
  </si>
  <si>
    <t>Rs</t>
  </si>
  <si>
    <t>ANNUITIES</t>
  </si>
  <si>
    <t>A. STATUTORY BODIES</t>
  </si>
  <si>
    <t xml:space="preserve"> 1.  Central Electricity Board</t>
  </si>
  <si>
    <t xml:space="preserve">      Loan from Agence Francaise de</t>
  </si>
  <si>
    <t xml:space="preserve">      Developpement:-</t>
  </si>
  <si>
    <t xml:space="preserve">        Champagne Hydro Electric Project</t>
  </si>
  <si>
    <t>1981-85</t>
  </si>
  <si>
    <t>Min.of Pub.Util.</t>
  </si>
  <si>
    <t xml:space="preserve">      Loan from Government of India:-</t>
  </si>
  <si>
    <t xml:space="preserve">        Purchase of Equipment</t>
  </si>
  <si>
    <t>do</t>
  </si>
  <si>
    <t xml:space="preserve">      Loan from Kuwait Fund:-</t>
  </si>
  <si>
    <t xml:space="preserve">        Fort-George Power Station - </t>
  </si>
  <si>
    <t xml:space="preserve">                                      Extension Project</t>
  </si>
  <si>
    <t>1996-01</t>
  </si>
  <si>
    <t xml:space="preserve">      Loan from OPEC Fund:-</t>
  </si>
  <si>
    <t>1982-86</t>
  </si>
  <si>
    <t xml:space="preserve">      Loan from K.F.W:-</t>
  </si>
  <si>
    <t xml:space="preserve">        Electrification of Rodrigues</t>
  </si>
  <si>
    <t>1984-93</t>
  </si>
  <si>
    <t xml:space="preserve"> Loan from Nordic Investment Bank</t>
  </si>
  <si>
    <t xml:space="preserve">        Fort George Power Station-</t>
  </si>
  <si>
    <t>1995-97</t>
  </si>
  <si>
    <t xml:space="preserve">                                   Extension Project</t>
  </si>
  <si>
    <t xml:space="preserve">        132 Kv Transmission Line Project</t>
  </si>
  <si>
    <t>2001-03</t>
  </si>
  <si>
    <t xml:space="preserve">      Loan from Badea</t>
  </si>
  <si>
    <t xml:space="preserve">      Government Loans:-</t>
  </si>
  <si>
    <t xml:space="preserve">        Development Programme</t>
  </si>
  <si>
    <t>1987-99</t>
  </si>
  <si>
    <t xml:space="preserve">        Settlement of Champ. Arbitration</t>
  </si>
  <si>
    <t>1988-89</t>
  </si>
  <si>
    <t>Carried forward</t>
  </si>
  <si>
    <t>ANNUITIES - continued</t>
  </si>
  <si>
    <t>A - STATUTORY BODIES - cont.</t>
  </si>
  <si>
    <t>Brought forward</t>
  </si>
  <si>
    <t>2.  Central Water Authority</t>
  </si>
  <si>
    <t xml:space="preserve">    Loan from Kuwait Fund -</t>
  </si>
  <si>
    <t xml:space="preserve">  Mare aux Vacoas water supply - Ph I</t>
  </si>
  <si>
    <t>1982-97</t>
  </si>
  <si>
    <t xml:space="preserve">    Loan from O.D.A.</t>
  </si>
  <si>
    <t>1973-79</t>
  </si>
  <si>
    <t xml:space="preserve">    U.K. Programme Loan 1981</t>
  </si>
  <si>
    <t>1982-84</t>
  </si>
  <si>
    <t xml:space="preserve">    Loan from European Investment Bank</t>
  </si>
  <si>
    <t xml:space="preserve">    La Marie Water Supply</t>
  </si>
  <si>
    <t>1997-99</t>
  </si>
  <si>
    <t>Loan from Badea USD 13.3m</t>
  </si>
  <si>
    <t xml:space="preserve">    Loan from A.F.D:-</t>
  </si>
  <si>
    <t xml:space="preserve">      Northern District Water Supply</t>
  </si>
  <si>
    <t>1988-93</t>
  </si>
  <si>
    <t xml:space="preserve">      Rehabilitation of Water Supply</t>
  </si>
  <si>
    <t xml:space="preserve">      Projects Phase II</t>
  </si>
  <si>
    <t>1991-99</t>
  </si>
  <si>
    <t xml:space="preserve">    Government Loans:-</t>
  </si>
  <si>
    <t xml:space="preserve">     Development Programme</t>
  </si>
  <si>
    <t xml:space="preserve">     Port Louis Water Supply</t>
  </si>
  <si>
    <t xml:space="preserve">     District Water Supply</t>
  </si>
  <si>
    <t xml:space="preserve">     Mare aux Vacoas Water Supply</t>
  </si>
  <si>
    <t xml:space="preserve"> 3.  Sugar Planters Mechanical Pool</t>
  </si>
  <si>
    <t xml:space="preserve">      Corporation</t>
  </si>
  <si>
    <t xml:space="preserve">     Loan from E.D.F.</t>
  </si>
  <si>
    <t xml:space="preserve">        National De-Rocking Scheme</t>
  </si>
  <si>
    <t>1991-96</t>
  </si>
  <si>
    <t xml:space="preserve"> 4.  Mauritius Meat Authority</t>
  </si>
  <si>
    <t xml:space="preserve">      Government Loans</t>
  </si>
  <si>
    <t>1975-80</t>
  </si>
  <si>
    <t xml:space="preserve">  5.  Irrigation Authority</t>
  </si>
  <si>
    <t xml:space="preserve">       C.D.C Loan</t>
  </si>
  <si>
    <t>1979-83</t>
  </si>
  <si>
    <t xml:space="preserve">       Loan from AFD</t>
  </si>
  <si>
    <t>1987-92</t>
  </si>
  <si>
    <t xml:space="preserve">       Government Loans </t>
  </si>
  <si>
    <t xml:space="preserve">       To cover operating deficits </t>
  </si>
  <si>
    <t xml:space="preserve">       Rehabilitation of La Ferme and</t>
  </si>
  <si>
    <t xml:space="preserve"> </t>
  </si>
  <si>
    <t xml:space="preserve">       Magenta Canal</t>
  </si>
  <si>
    <t>1991-95</t>
  </si>
  <si>
    <t>6.  Agricultural Marketing Board</t>
  </si>
  <si>
    <t xml:space="preserve">         Loan from European Devt.Fund:</t>
  </si>
  <si>
    <t xml:space="preserve">          Storage Installations</t>
  </si>
  <si>
    <t>1986-93</t>
  </si>
  <si>
    <t xml:space="preserve">        I.B.R.D Loan </t>
  </si>
  <si>
    <t>1997-01</t>
  </si>
  <si>
    <t>Ministry of Finance</t>
  </si>
  <si>
    <t>I.   LOANS REFUNDABLE BY</t>
  </si>
  <si>
    <t>8.  National Transport Corporation</t>
  </si>
  <si>
    <t xml:space="preserve">       Loan from Government of India</t>
  </si>
  <si>
    <t xml:space="preserve"> (Exim Bank)    </t>
  </si>
  <si>
    <t>1986-90</t>
  </si>
  <si>
    <t>1987-98</t>
  </si>
  <si>
    <t xml:space="preserve">       Government Loans</t>
  </si>
  <si>
    <t>1988-90</t>
  </si>
  <si>
    <t>9.  Industrial &amp; Vocational Training</t>
  </si>
  <si>
    <t xml:space="preserve">        Board</t>
  </si>
  <si>
    <t xml:space="preserve">       Loan from Agence Francaise </t>
  </si>
  <si>
    <t xml:space="preserve">         de Developpement</t>
  </si>
  <si>
    <t>1990-99</t>
  </si>
  <si>
    <t xml:space="preserve">       Loan from World Bank</t>
  </si>
  <si>
    <t>1993-99</t>
  </si>
  <si>
    <t xml:space="preserve">  10.   Rose-Belle S.E.</t>
  </si>
  <si>
    <t xml:space="preserve">       Government  Loan</t>
  </si>
  <si>
    <t xml:space="preserve">       Loan from A.D.B</t>
  </si>
  <si>
    <t>1993-97</t>
  </si>
  <si>
    <t xml:space="preserve">  11.   State Investment Corporation</t>
  </si>
  <si>
    <t>B - PRIVATE INDIVIDUALS</t>
  </si>
  <si>
    <t xml:space="preserve"> 1.  Repatriation Expenses</t>
  </si>
  <si>
    <t>Min. of Soc. Security</t>
  </si>
  <si>
    <t xml:space="preserve"> 2.  Plaines Wilhems Sewerage Scheme</t>
  </si>
  <si>
    <t>1963-99</t>
  </si>
  <si>
    <t xml:space="preserve">Ord. No. 29 </t>
  </si>
  <si>
    <t>of 1958</t>
  </si>
  <si>
    <t xml:space="preserve"> 3.  Port Louis House Service  </t>
  </si>
  <si>
    <t xml:space="preserve">        Sewerage scheme</t>
  </si>
  <si>
    <t>1980-88</t>
  </si>
  <si>
    <t>Cap. 276</t>
  </si>
  <si>
    <t xml:space="preserve"> 4.  Small Scale Industries </t>
  </si>
  <si>
    <t xml:space="preserve">        Loan from Government of India</t>
  </si>
  <si>
    <t>1981-82</t>
  </si>
  <si>
    <t>C - PRIVATE BODIES</t>
  </si>
  <si>
    <t>1.Development Bank of Mauritius Ltd</t>
  </si>
  <si>
    <t xml:space="preserve">    Loan from BADEA:-</t>
  </si>
  <si>
    <t xml:space="preserve">      Industrial Agricultural and Agro-</t>
  </si>
  <si>
    <t>1993-94</t>
  </si>
  <si>
    <t xml:space="preserve">      Industrial Sub Projects</t>
  </si>
  <si>
    <t xml:space="preserve">    Loan from Government of India</t>
  </si>
  <si>
    <t xml:space="preserve">      8th Line of credit</t>
  </si>
  <si>
    <t>1999-03</t>
  </si>
  <si>
    <t xml:space="preserve">    Loan from E.D.F</t>
  </si>
  <si>
    <t xml:space="preserve">     Agricultural &amp; Industrial Credits</t>
  </si>
  <si>
    <t xml:space="preserve">     Small Scale Agric. Sectors,Transport</t>
  </si>
  <si>
    <t xml:space="preserve">   Secondary Schools &amp; Modernisation</t>
  </si>
  <si>
    <t>1991-97</t>
  </si>
  <si>
    <t xml:space="preserve">      Industry and Agriculture</t>
  </si>
  <si>
    <t>1964-86</t>
  </si>
  <si>
    <t xml:space="preserve">      Setting up of Industrial Estate in</t>
  </si>
  <si>
    <t xml:space="preserve">      Rodrigues</t>
  </si>
  <si>
    <t>1990-91</t>
  </si>
  <si>
    <t xml:space="preserve">      Religious Bodies</t>
  </si>
  <si>
    <t xml:space="preserve">      For On-Lending to NHDC</t>
  </si>
  <si>
    <t>1994-96</t>
  </si>
  <si>
    <t xml:space="preserve">     Financial schemes- various sectors </t>
  </si>
  <si>
    <t>1999-00</t>
  </si>
  <si>
    <t xml:space="preserve">     of economy</t>
  </si>
  <si>
    <t xml:space="preserve">     IFAD Rural Diversification Program</t>
  </si>
  <si>
    <t>2001-04</t>
  </si>
  <si>
    <t>C - PRIVATE BODIES - cont.</t>
  </si>
  <si>
    <t>2. Mauritius Housing Company Ltd</t>
  </si>
  <si>
    <t xml:space="preserve">    Loan from E.D.F for the building and</t>
  </si>
  <si>
    <t xml:space="preserve">    Improvement  of Houses</t>
  </si>
  <si>
    <t>1981-89</t>
  </si>
  <si>
    <t xml:space="preserve">    Loan from United States Agency for</t>
  </si>
  <si>
    <t xml:space="preserve">    International Development</t>
  </si>
  <si>
    <t>1987-89</t>
  </si>
  <si>
    <t xml:space="preserve">    U.S.Aid Subsidiary Programme</t>
  </si>
  <si>
    <t>1989-90</t>
  </si>
  <si>
    <t xml:space="preserve">    Cyclone Housing Reconstruction Prog.                                                           Prog.</t>
  </si>
  <si>
    <t>1978-84</t>
  </si>
  <si>
    <t xml:space="preserve">    Housing Programme</t>
  </si>
  <si>
    <t>1972-82</t>
  </si>
  <si>
    <t xml:space="preserve">    Governemnt Sponsored Loan Scheme</t>
  </si>
  <si>
    <t xml:space="preserve">  3. Bus Companies</t>
  </si>
  <si>
    <t xml:space="preserve"> 4. Mauritius Cooperative Central Bank</t>
  </si>
  <si>
    <t xml:space="preserve">     Loan from AFD:- </t>
  </si>
  <si>
    <t xml:space="preserve">     Belle Mare Irrigation Project</t>
  </si>
  <si>
    <t xml:space="preserve">     EDF Line of Credit</t>
  </si>
  <si>
    <t xml:space="preserve"> 1992-93</t>
  </si>
  <si>
    <t xml:space="preserve"> do</t>
  </si>
  <si>
    <t>5. Mauritius Telecom</t>
  </si>
  <si>
    <t xml:space="preserve">     Government Loans</t>
  </si>
  <si>
    <t xml:space="preserve">     Overseas Economic Cooperation Fund</t>
  </si>
  <si>
    <t>1989-93</t>
  </si>
  <si>
    <t xml:space="preserve">6.  National Housing Development Co.Ltd </t>
  </si>
  <si>
    <t xml:space="preserve">     Loan from Govt.of People's </t>
  </si>
  <si>
    <t xml:space="preserve">         Republic of China</t>
  </si>
  <si>
    <t>1992-99</t>
  </si>
  <si>
    <t>Ministry of Housing</t>
  </si>
  <si>
    <t xml:space="preserve">     Local (Firinga Housing Unit)</t>
  </si>
  <si>
    <t xml:space="preserve">     Local (Malaysian)</t>
  </si>
  <si>
    <t>2001-02</t>
  </si>
  <si>
    <t>I. LOANS REFUNDABLE BY</t>
  </si>
  <si>
    <t>7. Business Parks of Mauritius Ltd</t>
  </si>
  <si>
    <t xml:space="preserve">    Loan from Government of India :-</t>
  </si>
  <si>
    <t xml:space="preserve">   Cyber City and IT Education Projects</t>
  </si>
  <si>
    <t xml:space="preserve">II.   LOANS REFUNDABLE BY </t>
  </si>
  <si>
    <t>SINKING FUND CONTRIBUTION</t>
  </si>
  <si>
    <t>1. Central Electricity Board -</t>
  </si>
  <si>
    <t xml:space="preserve">     Eau Bleue Electric Scheme, Rural</t>
  </si>
  <si>
    <t xml:space="preserve">      Electrification, etc.</t>
  </si>
  <si>
    <t>1958-80</t>
  </si>
  <si>
    <t xml:space="preserve"> Ministry of Finance</t>
  </si>
  <si>
    <t>2. Agricultural Marketing Board -</t>
  </si>
  <si>
    <t xml:space="preserve">     Consolidated Loan</t>
  </si>
  <si>
    <t>Min.of Agriculture</t>
  </si>
  <si>
    <t xml:space="preserve">     Extension of Storage Complex</t>
  </si>
  <si>
    <t>1965-82</t>
  </si>
  <si>
    <t>1982-85</t>
  </si>
  <si>
    <t>RECAPITULATION</t>
  </si>
  <si>
    <t>A.  Statutory Bodies</t>
  </si>
  <si>
    <t>B.  Private Individuals</t>
  </si>
  <si>
    <t>C.  Private Bodies</t>
  </si>
  <si>
    <t>TOTAL  I</t>
  </si>
  <si>
    <t>II. LOANS REFUNDABLE BY</t>
  </si>
  <si>
    <t>SINKING FUND CONTRIBUTIONS</t>
  </si>
  <si>
    <t>A. Statutory Bodies</t>
  </si>
  <si>
    <t>TOTAL  II</t>
  </si>
  <si>
    <t>TOTAL   I &amp; II</t>
  </si>
  <si>
    <t>Note :  The original amounts of foreign loans are stated at their rupee equivalent on date of issue</t>
  </si>
  <si>
    <t>J. VALAYTHEN</t>
  </si>
  <si>
    <t xml:space="preserve"> Accountant-General</t>
  </si>
  <si>
    <t>Amount             Outstanding  as at 1 July, 2004</t>
  </si>
  <si>
    <t>Amount  of               Loan Issued during 2004-05</t>
  </si>
  <si>
    <t>2004-05</t>
  </si>
  <si>
    <t>at 30.06.2005</t>
  </si>
  <si>
    <t>at 30 June 2005</t>
  </si>
  <si>
    <t>Issues</t>
  </si>
  <si>
    <t>Repayments</t>
  </si>
  <si>
    <t>Bal 01-07-2004</t>
  </si>
  <si>
    <t>Bal 30-06-2005</t>
  </si>
  <si>
    <t>nhdc firinga</t>
  </si>
  <si>
    <t>* Represent accrued sinking fund as at 30 June 2004 and include contribution amounting to Rs 233,699.32 for 2004-2005</t>
  </si>
  <si>
    <t>NAME</t>
  </si>
  <si>
    <t>P.Hurchurn</t>
  </si>
  <si>
    <t>A.K. Dhunnoo</t>
  </si>
  <si>
    <t>A.K. Proag</t>
  </si>
  <si>
    <t>General Metal Workshop</t>
  </si>
  <si>
    <t>A.K. Ramjaun</t>
  </si>
  <si>
    <t>C. Jeeha</t>
  </si>
  <si>
    <t>N. Edoo</t>
  </si>
  <si>
    <t>Indian Rupee</t>
  </si>
  <si>
    <t>MUR</t>
  </si>
  <si>
    <t>Folio</t>
  </si>
  <si>
    <t>Rate</t>
  </si>
  <si>
    <t>Balance on 30 June 2004</t>
  </si>
  <si>
    <t>Balance on 30 June 2005</t>
  </si>
  <si>
    <t>Exchange rate difference</t>
  </si>
  <si>
    <t>LOANS TO SMALL SCALE INDUSTRIES</t>
  </si>
  <si>
    <t>THE TREASURY</t>
  </si>
  <si>
    <t>Outstanding Principal</t>
  </si>
  <si>
    <t>Total</t>
  </si>
  <si>
    <t>IVTB</t>
  </si>
  <si>
    <t>SPMPC</t>
  </si>
  <si>
    <t>LN 382</t>
  </si>
  <si>
    <t>LN 210</t>
  </si>
  <si>
    <t>LN 415</t>
  </si>
  <si>
    <t xml:space="preserve">        Undergrounding of Cables</t>
  </si>
  <si>
    <t>1977-05</t>
  </si>
  <si>
    <t xml:space="preserve">      Government Loans:- cont.</t>
  </si>
  <si>
    <t xml:space="preserve"> 1.  Central Electricity Board - cont.</t>
  </si>
  <si>
    <t>Total Central Electricity Board</t>
  </si>
  <si>
    <t>1991-05</t>
  </si>
  <si>
    <t>Total Central Water Authority</t>
  </si>
  <si>
    <t>LN 212</t>
  </si>
  <si>
    <t>LN 365</t>
  </si>
  <si>
    <t>LN 395</t>
  </si>
  <si>
    <t>LN 404</t>
  </si>
  <si>
    <t>LN 338</t>
  </si>
  <si>
    <t xml:space="preserve">Total Sugar Planters Mechanical Pool Corporation </t>
  </si>
  <si>
    <t>Total Agricultural Markrting Board</t>
  </si>
  <si>
    <t>Total Irrigation Authority</t>
  </si>
  <si>
    <t>Total Mauritius Meat Authority</t>
  </si>
  <si>
    <t>Total State Investment Corporation</t>
  </si>
  <si>
    <t>Total Rose Belle Sugar S.E.</t>
  </si>
  <si>
    <t>Total Industrial &amp; Vocational Training Board</t>
  </si>
  <si>
    <t>Total National Transport Corporation</t>
  </si>
  <si>
    <t>TOTAL STATUTORY BODIES</t>
  </si>
  <si>
    <t>TOTAL PRIVATE INDIVIDUALS</t>
  </si>
  <si>
    <t>1.Development Bank of Mauritius Ltd -cont.</t>
  </si>
  <si>
    <t>Total Development Bank of Mauritius Ltd -cont.</t>
  </si>
  <si>
    <t xml:space="preserve">Total Mauritius Housing Company Ltd </t>
  </si>
  <si>
    <t>Total Bus Companies</t>
  </si>
  <si>
    <t>Total Mauritius Cooperative Central Bank</t>
  </si>
  <si>
    <t>Total Mauritius Telecom</t>
  </si>
  <si>
    <t>Total National Housing                             Development Co. Ltd</t>
  </si>
  <si>
    <t>Total Business Parks of Mauritius Ltd</t>
  </si>
  <si>
    <t>TOTAL PRIVATE BODIES</t>
  </si>
  <si>
    <t>3. Mauritius Sugar Industry Research                     Institute</t>
  </si>
  <si>
    <t>Total Mauritius Sugar Industry Research Institute</t>
  </si>
  <si>
    <t>Total Agricultural Marketing Board</t>
  </si>
  <si>
    <t>TOTAL LOANS REFUNDABLE BY SINKING FUND CONTRIBUTION</t>
  </si>
  <si>
    <t>LN 387</t>
  </si>
  <si>
    <t>Adjustment</t>
  </si>
  <si>
    <t>CEB</t>
  </si>
  <si>
    <t>CWA</t>
  </si>
  <si>
    <t>FL 5</t>
  </si>
  <si>
    <t>FL 6</t>
  </si>
  <si>
    <t>FL 9</t>
  </si>
  <si>
    <t>FL 12</t>
  </si>
  <si>
    <t>FL 2</t>
  </si>
  <si>
    <t>LN 344</t>
  </si>
  <si>
    <t>FL 120</t>
  </si>
  <si>
    <t>IRRIGATION</t>
  </si>
  <si>
    <t>LN 261</t>
  </si>
  <si>
    <t>FL 168</t>
  </si>
  <si>
    <t>AMB</t>
  </si>
  <si>
    <t>LN 287</t>
  </si>
  <si>
    <t>FL 82</t>
  </si>
  <si>
    <t>MAURITIUS FREEPORT</t>
  </si>
  <si>
    <t>LN 314</t>
  </si>
  <si>
    <t>FL 184</t>
  </si>
  <si>
    <t>LN 319</t>
  </si>
  <si>
    <t>FL 111</t>
  </si>
  <si>
    <t>FL 109</t>
  </si>
  <si>
    <t>BPML</t>
  </si>
  <si>
    <t>LN 165</t>
  </si>
  <si>
    <t>FL 1</t>
  </si>
  <si>
    <t>FL 3</t>
  </si>
  <si>
    <t>LN 161</t>
  </si>
  <si>
    <t>FL 8</t>
  </si>
  <si>
    <t>ADJUSTMENT DUE TO CURRENCY REVALUATION AS AT 30 JUNE 2005</t>
  </si>
  <si>
    <t>STATEMENT M (Workings)</t>
  </si>
  <si>
    <t>2002-05</t>
  </si>
  <si>
    <t>1996-05</t>
  </si>
  <si>
    <t>1999-05</t>
  </si>
  <si>
    <t>1983-05</t>
  </si>
  <si>
    <t>2001-05</t>
  </si>
  <si>
    <t xml:space="preserve">   8.  BPML Freeport Services Ltd</t>
  </si>
  <si>
    <t>Total BPML Freeport Services Ltd</t>
  </si>
  <si>
    <t>MT</t>
  </si>
  <si>
    <t>LN 300</t>
  </si>
  <si>
    <t>FL 141</t>
  </si>
  <si>
    <t>STATEMENT M</t>
  </si>
  <si>
    <t xml:space="preserve">  21  October, 2005</t>
  </si>
  <si>
    <t xml:space="preserve">                                                          - Ph II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</si>
</sst>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*&quot;"/>
    <numFmt numFmtId="173" formatCode="#,##0.00;[Red]#,##0.00"/>
    <numFmt numFmtId="174" formatCode="_(* #,##0.000_);_(* \(#,##0.000\);_(* &quot;-&quot;??_);_(@_)"/>
    <numFmt numFmtId="175" formatCode="_(* #,##0.0000_);_(* \(#,##0.0000\);_(* &quot;-&quot;??_);_(@_)"/>
    <numFmt numFmtId="176" formatCode="_(* #,##0.000_);_(* \(#,##0.000\);_(* &quot;-&quot;???_);_(@_)"/>
    <numFmt numFmtId="177" formatCode="_(* #,##0.00000_);_(* \(#,##0.00000\);_(* &quot;-&quot;??_);_(@_)"/>
  </numFmts>
  <fonts count="12">
    <font>
      <sz val="10"/>
      <name val="Arial"/>
      <family val="0"/>
    </font>
    <font>
      <sz val="10"/>
      <name val="Times New Roman"/>
      <family val="0"/>
    </font>
    <font>
      <b/>
      <i/>
      <sz val="11"/>
      <name val="Times New Roman"/>
      <family val="0"/>
    </font>
    <font>
      <b/>
      <i/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1"/>
    </font>
    <font>
      <i/>
      <sz val="10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1" borderId="1" xfId="0" applyNumberFormat="1" applyFont="1" applyFill="1" applyBorder="1" applyAlignment="1">
      <alignment/>
    </xf>
    <xf numFmtId="0" fontId="4" fillId="1" borderId="1" xfId="0" applyNumberFormat="1" applyFont="1" applyFill="1" applyBorder="1" applyAlignment="1">
      <alignment horizontal="center"/>
    </xf>
    <xf numFmtId="171" fontId="4" fillId="1" borderId="2" xfId="0" applyNumberFormat="1" applyFont="1" applyFill="1" applyBorder="1" applyAlignment="1">
      <alignment horizontal="center"/>
    </xf>
    <xf numFmtId="4" fontId="4" fillId="1" borderId="3" xfId="0" applyNumberFormat="1" applyFont="1" applyFill="1" applyBorder="1" applyAlignment="1">
      <alignment horizontal="center"/>
    </xf>
    <xf numFmtId="0" fontId="4" fillId="1" borderId="3" xfId="0" applyNumberFormat="1" applyFont="1" applyFill="1" applyBorder="1" applyAlignment="1">
      <alignment horizontal="center"/>
    </xf>
    <xf numFmtId="171" fontId="4" fillId="1" borderId="0" xfId="0" applyNumberFormat="1" applyFont="1" applyFill="1" applyBorder="1" applyAlignment="1">
      <alignment horizontal="center"/>
    </xf>
    <xf numFmtId="0" fontId="4" fillId="1" borderId="4" xfId="0" applyNumberFormat="1" applyFont="1" applyFill="1" applyBorder="1" applyAlignment="1">
      <alignment horizontal="center"/>
    </xf>
    <xf numFmtId="171" fontId="4" fillId="1" borderId="5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1" fillId="0" borderId="3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171" fontId="1" fillId="0" borderId="3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" xfId="0" applyNumberFormat="1" applyFont="1" applyBorder="1" applyAlignment="1">
      <alignment horizontal="left"/>
    </xf>
    <xf numFmtId="171" fontId="1" fillId="0" borderId="3" xfId="0" applyNumberFormat="1" applyFont="1" applyBorder="1" applyAlignment="1">
      <alignment horizontal="right"/>
    </xf>
    <xf numFmtId="171" fontId="1" fillId="0" borderId="6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71" fontId="1" fillId="0" borderId="7" xfId="0" applyNumberFormat="1" applyFont="1" applyBorder="1" applyAlignment="1">
      <alignment/>
    </xf>
    <xf numFmtId="171" fontId="4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/>
    </xf>
    <xf numFmtId="171" fontId="1" fillId="0" borderId="3" xfId="0" applyNumberFormat="1" applyFont="1" applyFill="1" applyBorder="1" applyAlignment="1">
      <alignment/>
    </xf>
    <xf numFmtId="171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/>
    </xf>
    <xf numFmtId="0" fontId="1" fillId="0" borderId="3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vertical="top"/>
    </xf>
    <xf numFmtId="0" fontId="4" fillId="0" borderId="3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171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171" fontId="1" fillId="0" borderId="3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171" fontId="1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71" fontId="1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 applyProtection="1">
      <alignment/>
      <protection locked="0"/>
    </xf>
    <xf numFmtId="171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171" fontId="1" fillId="0" borderId="3" xfId="0" applyNumberFormat="1" applyFont="1" applyBorder="1" applyAlignment="1" applyProtection="1">
      <alignment horizontal="center"/>
      <protection locked="0"/>
    </xf>
    <xf numFmtId="171" fontId="1" fillId="0" borderId="6" xfId="0" applyNumberFormat="1" applyFont="1" applyBorder="1" applyAlignment="1" applyProtection="1">
      <alignment/>
      <protection locked="0"/>
    </xf>
    <xf numFmtId="171" fontId="1" fillId="0" borderId="3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171" fontId="1" fillId="0" borderId="3" xfId="0" applyNumberFormat="1" applyFont="1" applyBorder="1" applyAlignment="1" applyProtection="1">
      <alignment horizontal="center"/>
      <protection locked="0"/>
    </xf>
    <xf numFmtId="171" fontId="1" fillId="0" borderId="3" xfId="0" applyNumberFormat="1" applyFont="1" applyBorder="1" applyAlignment="1" applyProtection="1">
      <alignment/>
      <protection locked="0"/>
    </xf>
    <xf numFmtId="171" fontId="1" fillId="0" borderId="7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left"/>
    </xf>
    <xf numFmtId="171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3" xfId="0" applyNumberFormat="1" applyFont="1" applyBorder="1" applyAlignment="1">
      <alignment/>
    </xf>
    <xf numFmtId="171" fontId="1" fillId="0" borderId="9" xfId="0" applyNumberFormat="1" applyFont="1" applyBorder="1" applyAlignment="1">
      <alignment/>
    </xf>
    <xf numFmtId="171" fontId="1" fillId="0" borderId="4" xfId="0" applyNumberFormat="1" applyFont="1" applyBorder="1" applyAlignment="1">
      <alignment/>
    </xf>
    <xf numFmtId="171" fontId="1" fillId="0" borderId="4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1" fillId="0" borderId="9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71" fontId="1" fillId="0" borderId="7" xfId="0" applyNumberFormat="1" applyFont="1" applyBorder="1" applyAlignment="1">
      <alignment vertical="center"/>
    </xf>
    <xf numFmtId="171" fontId="1" fillId="0" borderId="10" xfId="0" applyNumberFormat="1" applyFont="1" applyBorder="1" applyAlignment="1">
      <alignment vertical="center"/>
    </xf>
    <xf numFmtId="171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71" fontId="1" fillId="0" borderId="8" xfId="0" applyNumberFormat="1" applyFont="1" applyBorder="1" applyAlignment="1">
      <alignment horizontal="center"/>
    </xf>
    <xf numFmtId="171" fontId="0" fillId="0" borderId="0" xfId="15" applyAlignment="1">
      <alignment/>
    </xf>
    <xf numFmtId="171" fontId="0" fillId="0" borderId="0" xfId="0" applyNumberFormat="1" applyAlignment="1">
      <alignment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1" fontId="1" fillId="0" borderId="6" xfId="15" applyFont="1" applyBorder="1" applyAlignment="1">
      <alignment/>
    </xf>
    <xf numFmtId="171" fontId="1" fillId="0" borderId="9" xfId="15" applyFont="1" applyBorder="1" applyAlignment="1">
      <alignment/>
    </xf>
    <xf numFmtId="171" fontId="1" fillId="0" borderId="0" xfId="15" applyFont="1" applyAlignment="1">
      <alignment/>
    </xf>
    <xf numFmtId="175" fontId="0" fillId="0" borderId="0" xfId="15" applyNumberForma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71" fontId="10" fillId="0" borderId="14" xfId="15" applyFont="1" applyBorder="1" applyAlignment="1">
      <alignment/>
    </xf>
    <xf numFmtId="175" fontId="10" fillId="0" borderId="14" xfId="15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171" fontId="9" fillId="0" borderId="14" xfId="15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71" fontId="0" fillId="0" borderId="14" xfId="0" applyNumberFormat="1" applyBorder="1" applyAlignment="1">
      <alignment/>
    </xf>
    <xf numFmtId="171" fontId="1" fillId="0" borderId="15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/>
    </xf>
    <xf numFmtId="171" fontId="1" fillId="0" borderId="16" xfId="0" applyNumberFormat="1" applyFont="1" applyBorder="1" applyAlignment="1">
      <alignment/>
    </xf>
    <xf numFmtId="171" fontId="1" fillId="0" borderId="17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 applyProtection="1">
      <alignment horizontal="center"/>
      <protection locked="0"/>
    </xf>
    <xf numFmtId="171" fontId="1" fillId="0" borderId="15" xfId="0" applyNumberFormat="1" applyFont="1" applyBorder="1" applyAlignment="1" applyProtection="1">
      <alignment horizontal="center"/>
      <protection locked="0"/>
    </xf>
    <xf numFmtId="171" fontId="1" fillId="0" borderId="11" xfId="0" applyNumberFormat="1" applyFont="1" applyBorder="1" applyAlignment="1" applyProtection="1">
      <alignment horizontal="center"/>
      <protection locked="0"/>
    </xf>
    <xf numFmtId="0" fontId="4" fillId="0" borderId="3" xfId="0" applyNumberFormat="1" applyFont="1" applyBorder="1" applyAlignment="1">
      <alignment wrapText="1"/>
    </xf>
    <xf numFmtId="0" fontId="4" fillId="0" borderId="3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/>
    </xf>
    <xf numFmtId="171" fontId="1" fillId="0" borderId="18" xfId="0" applyNumberFormat="1" applyFont="1" applyBorder="1" applyAlignment="1">
      <alignment/>
    </xf>
    <xf numFmtId="171" fontId="1" fillId="0" borderId="8" xfId="0" applyNumberFormat="1" applyFont="1" applyBorder="1" applyAlignment="1">
      <alignment/>
    </xf>
    <xf numFmtId="0" fontId="0" fillId="0" borderId="19" xfId="0" applyBorder="1" applyAlignment="1">
      <alignment/>
    </xf>
    <xf numFmtId="171" fontId="0" fillId="0" borderId="0" xfId="15" applyBorder="1" applyAlignment="1">
      <alignment/>
    </xf>
    <xf numFmtId="171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20" xfId="15" applyNumberFormat="1" applyBorder="1" applyAlignment="1">
      <alignment/>
    </xf>
    <xf numFmtId="171" fontId="0" fillId="0" borderId="20" xfId="15" applyBorder="1" applyAlignment="1">
      <alignment/>
    </xf>
    <xf numFmtId="4" fontId="0" fillId="0" borderId="0" xfId="15" applyNumberFormat="1" applyBorder="1" applyAlignment="1">
      <alignment/>
    </xf>
    <xf numFmtId="0" fontId="7" fillId="0" borderId="19" xfId="0" applyFont="1" applyBorder="1" applyAlignment="1">
      <alignment/>
    </xf>
    <xf numFmtId="171" fontId="0" fillId="0" borderId="0" xfId="0" applyNumberFormat="1" applyBorder="1" applyAlignment="1">
      <alignment/>
    </xf>
    <xf numFmtId="174" fontId="0" fillId="0" borderId="0" xfId="15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5" fontId="0" fillId="0" borderId="23" xfId="15" applyNumberFormat="1" applyBorder="1" applyAlignment="1">
      <alignment/>
    </xf>
    <xf numFmtId="175" fontId="0" fillId="0" borderId="0" xfId="15" applyNumberFormat="1" applyBorder="1" applyAlignment="1">
      <alignment/>
    </xf>
    <xf numFmtId="0" fontId="0" fillId="0" borderId="24" xfId="0" applyBorder="1" applyAlignment="1">
      <alignment/>
    </xf>
    <xf numFmtId="171" fontId="0" fillId="0" borderId="25" xfId="15" applyBorder="1" applyAlignment="1">
      <alignment/>
    </xf>
    <xf numFmtId="171" fontId="0" fillId="0" borderId="22" xfId="15" applyBorder="1" applyAlignment="1">
      <alignment/>
    </xf>
    <xf numFmtId="171" fontId="0" fillId="0" borderId="23" xfId="0" applyNumberFormat="1" applyBorder="1" applyAlignment="1">
      <alignment/>
    </xf>
    <xf numFmtId="0" fontId="7" fillId="0" borderId="26" xfId="0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" fontId="3" fillId="1" borderId="0" xfId="0" applyNumberFormat="1" applyFont="1" applyFill="1" applyAlignment="1">
      <alignment horizontal="centerContinuous" vertical="center"/>
    </xf>
    <xf numFmtId="0" fontId="3" fillId="1" borderId="27" xfId="0" applyNumberFormat="1" applyFont="1" applyFill="1" applyBorder="1" applyAlignment="1">
      <alignment horizontal="centerContinuous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textRotation="180"/>
    </xf>
    <xf numFmtId="0" fontId="1" fillId="0" borderId="16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4" fillId="1" borderId="16" xfId="0" applyNumberFormat="1" applyFont="1" applyFill="1" applyBorder="1" applyAlignment="1">
      <alignment horizontal="center" vertical="center" wrapText="1"/>
    </xf>
    <xf numFmtId="0" fontId="4" fillId="1" borderId="6" xfId="0" applyNumberFormat="1" applyFont="1" applyFill="1" applyBorder="1" applyAlignment="1">
      <alignment horizontal="center" vertical="center" wrapText="1"/>
    </xf>
    <xf numFmtId="0" fontId="4" fillId="1" borderId="9" xfId="0" applyNumberFormat="1" applyFont="1" applyFill="1" applyBorder="1" applyAlignment="1">
      <alignment horizontal="center" vertical="center" wrapText="1"/>
    </xf>
    <xf numFmtId="0" fontId="4" fillId="1" borderId="1" xfId="0" applyNumberFormat="1" applyFont="1" applyFill="1" applyBorder="1" applyAlignment="1">
      <alignment horizontal="center" vertical="center"/>
    </xf>
    <xf numFmtId="0" fontId="4" fillId="1" borderId="3" xfId="0" applyNumberFormat="1" applyFont="1" applyFill="1" applyBorder="1" applyAlignment="1">
      <alignment horizontal="center" vertical="center"/>
    </xf>
    <xf numFmtId="0" fontId="4" fillId="1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71" fontId="1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281</xdr:row>
      <xdr:rowOff>0</xdr:rowOff>
    </xdr:from>
    <xdr:to>
      <xdr:col>5</xdr:col>
      <xdr:colOff>952500</xdr:colOff>
      <xdr:row>281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0" y="486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showGridLines="0" tabSelected="1" workbookViewId="0" topLeftCell="A6">
      <pane xSplit="2" ySplit="5" topLeftCell="C52" activePane="bottomRight" state="frozen"/>
      <selection pane="topLeft" activeCell="A6" sqref="A6"/>
      <selection pane="topRight" activeCell="C6" sqref="C6"/>
      <selection pane="bottomLeft" activeCell="A12" sqref="A12"/>
      <selection pane="bottomRight" activeCell="B60" sqref="B60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7.00390625" style="2" customWidth="1"/>
    <col min="4" max="4" width="13.8515625" style="1" customWidth="1"/>
    <col min="5" max="5" width="15.140625" style="1" customWidth="1"/>
    <col min="6" max="6" width="15.421875" style="1" customWidth="1"/>
    <col min="7" max="7" width="13.7109375" style="1" customWidth="1"/>
    <col min="8" max="9" width="14.00390625" style="1" customWidth="1"/>
    <col min="10" max="10" width="16.140625" style="20" customWidth="1"/>
    <col min="11" max="11" width="13.57421875" style="1" customWidth="1"/>
    <col min="12" max="12" width="9.140625" style="1" customWidth="1"/>
    <col min="13" max="13" width="10.00390625" style="1" bestFit="1" customWidth="1"/>
    <col min="14" max="16384" width="9.140625" style="1" customWidth="1"/>
  </cols>
  <sheetData>
    <row r="1" spans="4:10" ht="16.5" thickBot="1" thickTop="1">
      <c r="D1" s="3"/>
      <c r="E1" s="4"/>
      <c r="F1" s="4"/>
      <c r="G1" s="4"/>
      <c r="J1" s="191" t="s">
        <v>337</v>
      </c>
    </row>
    <row r="2" spans="2:10" ht="16.5" thickTop="1">
      <c r="B2" s="195" t="s">
        <v>0</v>
      </c>
      <c r="C2" s="195"/>
      <c r="D2" s="195"/>
      <c r="E2" s="195"/>
      <c r="F2" s="195"/>
      <c r="G2" s="195"/>
      <c r="H2" s="195"/>
      <c r="I2" s="195"/>
      <c r="J2" s="195"/>
    </row>
    <row r="3" spans="2:9" ht="15">
      <c r="B3" s="3"/>
      <c r="D3" s="4"/>
      <c r="E3" s="4"/>
      <c r="F3" s="4"/>
      <c r="G3" s="4"/>
      <c r="H3" s="4"/>
      <c r="I3" s="4"/>
    </row>
    <row r="4" spans="2:10" ht="12.75">
      <c r="B4" s="199" t="s">
        <v>1</v>
      </c>
      <c r="C4" s="196" t="s">
        <v>2</v>
      </c>
      <c r="D4" s="196" t="s">
        <v>3</v>
      </c>
      <c r="E4" s="196" t="s">
        <v>4</v>
      </c>
      <c r="F4" s="196" t="s">
        <v>226</v>
      </c>
      <c r="G4" s="196" t="s">
        <v>227</v>
      </c>
      <c r="H4" s="5" t="s">
        <v>5</v>
      </c>
      <c r="I4" s="6" t="s">
        <v>6</v>
      </c>
      <c r="J4" s="7" t="s">
        <v>7</v>
      </c>
    </row>
    <row r="5" spans="2:10" ht="12.75">
      <c r="B5" s="200"/>
      <c r="C5" s="197"/>
      <c r="D5" s="197"/>
      <c r="E5" s="197"/>
      <c r="F5" s="197"/>
      <c r="G5" s="197"/>
      <c r="H5" s="8" t="s">
        <v>8</v>
      </c>
      <c r="I5" s="9" t="s">
        <v>9</v>
      </c>
      <c r="J5" s="10" t="s">
        <v>10</v>
      </c>
    </row>
    <row r="6" spans="2:10" ht="12.75">
      <c r="B6" s="200"/>
      <c r="C6" s="197"/>
      <c r="D6" s="197"/>
      <c r="E6" s="197"/>
      <c r="F6" s="197"/>
      <c r="G6" s="197"/>
      <c r="H6" s="9" t="s">
        <v>11</v>
      </c>
      <c r="I6" s="9" t="s">
        <v>12</v>
      </c>
      <c r="J6" s="10" t="s">
        <v>230</v>
      </c>
    </row>
    <row r="7" spans="2:10" ht="12.75">
      <c r="B7" s="201"/>
      <c r="C7" s="198"/>
      <c r="D7" s="198"/>
      <c r="E7" s="198"/>
      <c r="F7" s="198"/>
      <c r="G7" s="198"/>
      <c r="H7" s="11" t="s">
        <v>228</v>
      </c>
      <c r="I7" s="11" t="s">
        <v>229</v>
      </c>
      <c r="J7" s="12"/>
    </row>
    <row r="8" spans="2:10" ht="12.75">
      <c r="B8" s="16" t="s">
        <v>14</v>
      </c>
      <c r="C8" s="13"/>
      <c r="D8" s="14"/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8" t="s">
        <v>15</v>
      </c>
    </row>
    <row r="9" spans="2:9" ht="12.75">
      <c r="B9" s="16" t="s">
        <v>16</v>
      </c>
      <c r="C9" s="13"/>
      <c r="D9" s="14"/>
      <c r="E9" s="19"/>
      <c r="F9" s="19"/>
      <c r="G9" s="19"/>
      <c r="H9" s="19"/>
      <c r="I9" s="19"/>
    </row>
    <row r="10" spans="2:9" ht="12.75">
      <c r="B10" s="16" t="s">
        <v>17</v>
      </c>
      <c r="C10" s="13"/>
      <c r="D10" s="14"/>
      <c r="E10" s="19"/>
      <c r="F10" s="19"/>
      <c r="G10" s="19"/>
      <c r="H10" s="19"/>
      <c r="I10" s="19"/>
    </row>
    <row r="11" spans="2:9" ht="12.75">
      <c r="B11" s="14"/>
      <c r="C11" s="13"/>
      <c r="D11" s="14"/>
      <c r="E11" s="19"/>
      <c r="F11" s="19"/>
      <c r="G11" s="19"/>
      <c r="H11" s="19"/>
      <c r="I11" s="19"/>
    </row>
    <row r="12" spans="2:9" ht="12.75">
      <c r="B12" s="21" t="s">
        <v>18</v>
      </c>
      <c r="C12" s="13"/>
      <c r="D12" s="14"/>
      <c r="E12" s="19"/>
      <c r="F12" s="19"/>
      <c r="G12" s="19"/>
      <c r="H12" s="19"/>
      <c r="I12" s="19"/>
    </row>
    <row r="13" spans="2:10" ht="12.75">
      <c r="B13" s="14" t="s">
        <v>19</v>
      </c>
      <c r="C13" s="13"/>
      <c r="D13" s="13"/>
      <c r="E13" s="19"/>
      <c r="F13" s="22"/>
      <c r="G13" s="22"/>
      <c r="H13" s="22"/>
      <c r="I13" s="22"/>
      <c r="J13" s="23"/>
    </row>
    <row r="14" spans="2:10" ht="12.75">
      <c r="B14" s="14" t="s">
        <v>20</v>
      </c>
      <c r="C14" s="13"/>
      <c r="D14" s="13"/>
      <c r="E14" s="19"/>
      <c r="F14" s="19"/>
      <c r="G14" s="22"/>
      <c r="H14" s="19"/>
      <c r="I14" s="25"/>
      <c r="J14" s="56"/>
    </row>
    <row r="15" spans="2:10" ht="12.75">
      <c r="B15" s="14" t="s">
        <v>21</v>
      </c>
      <c r="C15" s="13" t="s">
        <v>22</v>
      </c>
      <c r="D15" s="24" t="s">
        <v>23</v>
      </c>
      <c r="E15" s="19">
        <v>94121277.39</v>
      </c>
      <c r="F15" s="19">
        <v>52348040.44</v>
      </c>
      <c r="G15" s="22">
        <v>0</v>
      </c>
      <c r="H15" s="25">
        <v>53934814.85</v>
      </c>
      <c r="I15" s="19">
        <v>1586774.41</v>
      </c>
      <c r="J15" s="125">
        <v>0</v>
      </c>
    </row>
    <row r="16" spans="2:10" ht="12.75">
      <c r="B16" s="14"/>
      <c r="C16" s="13"/>
      <c r="D16" s="13"/>
      <c r="E16" s="19"/>
      <c r="F16" s="19"/>
      <c r="G16" s="22"/>
      <c r="H16" s="25"/>
      <c r="I16" s="19"/>
      <c r="J16" s="56"/>
    </row>
    <row r="17" spans="2:10" ht="12.75">
      <c r="B17" s="27" t="s">
        <v>24</v>
      </c>
      <c r="C17" s="13"/>
      <c r="D17" s="13"/>
      <c r="E17" s="19"/>
      <c r="F17" s="19"/>
      <c r="G17" s="19"/>
      <c r="H17" s="19"/>
      <c r="I17" s="19"/>
      <c r="J17" s="23"/>
    </row>
    <row r="18" spans="2:10" ht="12.75">
      <c r="B18" s="27" t="s">
        <v>25</v>
      </c>
      <c r="C18" s="13">
        <v>1988</v>
      </c>
      <c r="D18" s="13" t="s">
        <v>26</v>
      </c>
      <c r="E18" s="19">
        <v>4276844.75</v>
      </c>
      <c r="F18" s="19">
        <v>534605.69</v>
      </c>
      <c r="G18" s="28"/>
      <c r="H18" s="19">
        <v>534605.69</v>
      </c>
      <c r="I18" s="22"/>
      <c r="J18" s="125">
        <v>0</v>
      </c>
    </row>
    <row r="19" spans="2:10" ht="12.75">
      <c r="B19" s="27"/>
      <c r="C19" s="13"/>
      <c r="D19" s="13"/>
      <c r="E19" s="19"/>
      <c r="F19" s="19"/>
      <c r="G19" s="22"/>
      <c r="H19" s="19"/>
      <c r="I19" s="22"/>
      <c r="J19" s="23"/>
    </row>
    <row r="20" spans="2:10" ht="12.75">
      <c r="B20" s="14" t="s">
        <v>27</v>
      </c>
      <c r="C20" s="13"/>
      <c r="D20" s="13"/>
      <c r="E20" s="19"/>
      <c r="F20" s="19"/>
      <c r="G20" s="19"/>
      <c r="H20" s="19"/>
      <c r="I20" s="19"/>
      <c r="J20" s="23"/>
    </row>
    <row r="21" spans="2:10" ht="12.75">
      <c r="B21" s="14" t="s">
        <v>28</v>
      </c>
      <c r="C21" s="13"/>
      <c r="D21" s="13"/>
      <c r="E21" s="19"/>
      <c r="F21" s="28"/>
      <c r="G21" s="28"/>
      <c r="H21" s="19"/>
      <c r="I21" s="19"/>
      <c r="J21" s="23"/>
    </row>
    <row r="22" spans="1:10" ht="18.75">
      <c r="A22" s="193">
        <v>179</v>
      </c>
      <c r="B22" s="14" t="s">
        <v>29</v>
      </c>
      <c r="C22" s="13" t="s">
        <v>30</v>
      </c>
      <c r="D22" s="13" t="s">
        <v>26</v>
      </c>
      <c r="E22" s="19">
        <v>254023947.77</v>
      </c>
      <c r="F22" s="19">
        <v>370234838.3</v>
      </c>
      <c r="G22" s="25"/>
      <c r="H22" s="19"/>
      <c r="I22" s="25">
        <f>J22-F22</f>
        <v>13624144.588209987</v>
      </c>
      <c r="J22" s="124">
        <f>3768677.1*101.8551</f>
        <v>383858982.88821</v>
      </c>
    </row>
    <row r="23" spans="2:10" ht="12.75">
      <c r="B23" s="14"/>
      <c r="C23" s="13"/>
      <c r="D23" s="13"/>
      <c r="E23" s="19"/>
      <c r="F23" s="19"/>
      <c r="G23" s="22"/>
      <c r="H23" s="19"/>
      <c r="I23" s="19"/>
      <c r="J23" s="124"/>
    </row>
    <row r="24" spans="2:10" ht="12.75">
      <c r="B24" s="14" t="s">
        <v>31</v>
      </c>
      <c r="C24" s="13"/>
      <c r="D24" s="13"/>
      <c r="E24" s="19"/>
      <c r="F24" s="19"/>
      <c r="G24" s="19"/>
      <c r="H24" s="19"/>
      <c r="I24" s="19"/>
      <c r="J24" s="23"/>
    </row>
    <row r="25" spans="2:10" ht="12.75">
      <c r="B25" s="14" t="s">
        <v>21</v>
      </c>
      <c r="C25" s="13" t="s">
        <v>32</v>
      </c>
      <c r="D25" s="13" t="s">
        <v>26</v>
      </c>
      <c r="E25" s="19">
        <v>20177951.92</v>
      </c>
      <c r="F25" s="19">
        <v>8291363.59</v>
      </c>
      <c r="G25" s="19"/>
      <c r="H25" s="19">
        <v>8104673.15</v>
      </c>
      <c r="I25" s="25">
        <v>-186690.44</v>
      </c>
      <c r="J25" s="125">
        <v>0</v>
      </c>
    </row>
    <row r="26" spans="2:10" ht="12.75">
      <c r="B26" s="14"/>
      <c r="C26" s="13"/>
      <c r="D26" s="13"/>
      <c r="E26" s="19"/>
      <c r="F26" s="19"/>
      <c r="G26" s="19"/>
      <c r="H26" s="19"/>
      <c r="I26" s="19"/>
      <c r="J26" s="23"/>
    </row>
    <row r="27" spans="2:10" ht="12.75">
      <c r="B27" s="14" t="s">
        <v>33</v>
      </c>
      <c r="C27" s="13"/>
      <c r="D27" s="13"/>
      <c r="E27" s="19"/>
      <c r="F27" s="19"/>
      <c r="G27" s="19"/>
      <c r="H27" s="19"/>
      <c r="I27" s="19"/>
      <c r="J27" s="23"/>
    </row>
    <row r="28" spans="2:10" ht="12.75">
      <c r="B28" s="14" t="s">
        <v>34</v>
      </c>
      <c r="C28" s="13" t="s">
        <v>35</v>
      </c>
      <c r="D28" s="13" t="s">
        <v>26</v>
      </c>
      <c r="E28" s="19">
        <v>24328372.55</v>
      </c>
      <c r="F28" s="19">
        <v>55961559.36</v>
      </c>
      <c r="G28" s="19"/>
      <c r="H28" s="19">
        <v>27280061.1</v>
      </c>
      <c r="I28" s="25">
        <v>2893041.41</v>
      </c>
      <c r="J28" s="26">
        <f>F28+G28-H28+I28</f>
        <v>31574539.669999998</v>
      </c>
    </row>
    <row r="29" spans="2:10" ht="12.75">
      <c r="B29" s="14"/>
      <c r="C29" s="13"/>
      <c r="D29" s="13"/>
      <c r="E29" s="19"/>
      <c r="F29" s="19"/>
      <c r="G29" s="19"/>
      <c r="H29" s="19"/>
      <c r="I29" s="19"/>
      <c r="J29" s="23"/>
    </row>
    <row r="30" spans="2:10" ht="12.75">
      <c r="B30" s="13" t="s">
        <v>36</v>
      </c>
      <c r="C30" s="13"/>
      <c r="D30" s="13"/>
      <c r="E30" s="19"/>
      <c r="F30" s="19"/>
      <c r="G30" s="29"/>
      <c r="H30" s="19"/>
      <c r="I30" s="19"/>
      <c r="J30" s="23"/>
    </row>
    <row r="31" spans="2:10" ht="12.75">
      <c r="B31" s="14" t="s">
        <v>37</v>
      </c>
      <c r="C31" s="30" t="s">
        <v>38</v>
      </c>
      <c r="D31" s="13" t="s">
        <v>26</v>
      </c>
      <c r="E31" s="25">
        <f>187042309.38+4192992.23</f>
        <v>191235301.60999998</v>
      </c>
      <c r="F31" s="19">
        <v>267900000</v>
      </c>
      <c r="G31" s="31"/>
      <c r="H31" s="19">
        <v>122350500</v>
      </c>
      <c r="I31" s="25">
        <v>5908620</v>
      </c>
      <c r="J31" s="26">
        <f>F31+G31-H31+I31</f>
        <v>151458120</v>
      </c>
    </row>
    <row r="32" spans="2:10" ht="12.75">
      <c r="B32" s="14" t="s">
        <v>39</v>
      </c>
      <c r="C32" s="13"/>
      <c r="D32" s="13"/>
      <c r="E32" s="19"/>
      <c r="F32" s="19"/>
      <c r="G32" s="19"/>
      <c r="H32" s="19"/>
      <c r="I32" s="19"/>
      <c r="J32" s="23"/>
    </row>
    <row r="33" spans="2:10" ht="12.75">
      <c r="B33" s="14"/>
      <c r="C33" s="13"/>
      <c r="D33" s="13"/>
      <c r="E33" s="19"/>
      <c r="F33" s="19"/>
      <c r="G33" s="19"/>
      <c r="H33" s="19"/>
      <c r="I33" s="19"/>
      <c r="J33" s="23"/>
    </row>
    <row r="34" spans="2:10" ht="12.75">
      <c r="B34" s="14" t="s">
        <v>33</v>
      </c>
      <c r="C34" s="13"/>
      <c r="D34" s="13"/>
      <c r="E34" s="19"/>
      <c r="F34" s="19"/>
      <c r="G34" s="19"/>
      <c r="H34" s="19"/>
      <c r="I34" s="19"/>
      <c r="J34" s="23"/>
    </row>
    <row r="35" spans="2:10" ht="12.75">
      <c r="B35" s="14" t="s">
        <v>40</v>
      </c>
      <c r="C35" s="30" t="s">
        <v>41</v>
      </c>
      <c r="D35" s="13" t="s">
        <v>26</v>
      </c>
      <c r="E35" s="25">
        <f>190701339.93+27932599.96</f>
        <v>218633939.89000002</v>
      </c>
      <c r="F35" s="19">
        <v>218633939.89000002</v>
      </c>
      <c r="G35" s="25"/>
      <c r="H35" s="19"/>
      <c r="I35" s="29"/>
      <c r="J35" s="26">
        <f>F35+G35-H35+I35</f>
        <v>218633939.89000002</v>
      </c>
    </row>
    <row r="36" spans="2:10" ht="12.75">
      <c r="B36" s="14"/>
      <c r="C36" s="13"/>
      <c r="D36" s="13"/>
      <c r="E36" s="19"/>
      <c r="F36" s="19"/>
      <c r="G36" s="19"/>
      <c r="H36" s="19"/>
      <c r="I36" s="19"/>
      <c r="J36" s="23"/>
    </row>
    <row r="37" spans="2:10" s="33" customFormat="1" ht="12.75">
      <c r="B37" s="32" t="s">
        <v>42</v>
      </c>
      <c r="C37" s="30"/>
      <c r="D37" s="30"/>
      <c r="E37" s="25"/>
      <c r="F37" s="25"/>
      <c r="G37" s="25"/>
      <c r="H37" s="25"/>
      <c r="I37" s="25"/>
      <c r="J37" s="26"/>
    </row>
    <row r="38" spans="2:10" s="33" customFormat="1" ht="12.75">
      <c r="B38" s="32" t="s">
        <v>40</v>
      </c>
      <c r="C38" s="30" t="s">
        <v>327</v>
      </c>
      <c r="D38" s="30" t="s">
        <v>26</v>
      </c>
      <c r="E38" s="25">
        <f>131721147.9+3496.86</f>
        <v>131724644.76</v>
      </c>
      <c r="F38" s="25">
        <v>130065318.03000002</v>
      </c>
      <c r="G38" s="25">
        <v>122010893.54</v>
      </c>
      <c r="H38" s="25">
        <v>32614910.7</v>
      </c>
      <c r="I38" s="25">
        <v>7687129.6</v>
      </c>
      <c r="J38" s="26">
        <f>F38+G38-H38+I38</f>
        <v>227148430.47000003</v>
      </c>
    </row>
    <row r="39" spans="2:10" ht="12.75">
      <c r="B39" s="14"/>
      <c r="C39" s="13"/>
      <c r="D39" s="13"/>
      <c r="E39" s="19"/>
      <c r="F39" s="19"/>
      <c r="G39" s="19"/>
      <c r="H39" s="19"/>
      <c r="I39" s="19"/>
      <c r="J39" s="23"/>
    </row>
    <row r="40" spans="2:10" ht="12.75">
      <c r="B40" s="14" t="s">
        <v>43</v>
      </c>
      <c r="C40" s="13"/>
      <c r="D40" s="13"/>
      <c r="E40" s="19"/>
      <c r="F40" s="19"/>
      <c r="G40" s="19"/>
      <c r="H40" s="19"/>
      <c r="I40" s="19"/>
      <c r="J40" s="23"/>
    </row>
    <row r="41" spans="2:10" ht="12.75">
      <c r="B41" s="14" t="s">
        <v>44</v>
      </c>
      <c r="C41" s="30" t="s">
        <v>262</v>
      </c>
      <c r="D41" s="13" t="s">
        <v>26</v>
      </c>
      <c r="E41" s="25">
        <f>71489907+2999905+5293630+9927004.5+2347045</f>
        <v>92057491.5</v>
      </c>
      <c r="F41" s="19">
        <v>72703346.5</v>
      </c>
      <c r="G41" s="25">
        <v>2347045</v>
      </c>
      <c r="H41" s="19">
        <v>35346776.8</v>
      </c>
      <c r="I41" s="19"/>
      <c r="J41" s="26">
        <f>F41+G41-H41+I41</f>
        <v>39703614.7</v>
      </c>
    </row>
    <row r="42" spans="2:10" ht="12.75">
      <c r="B42" s="14" t="s">
        <v>34</v>
      </c>
      <c r="C42" s="13" t="s">
        <v>45</v>
      </c>
      <c r="D42" s="13" t="s">
        <v>26</v>
      </c>
      <c r="E42" s="19">
        <v>25700000</v>
      </c>
      <c r="F42" s="19">
        <v>21600000</v>
      </c>
      <c r="G42" s="19"/>
      <c r="H42" s="19">
        <v>2500000</v>
      </c>
      <c r="I42" s="19"/>
      <c r="J42" s="26">
        <f>F42+G42-H42+I42</f>
        <v>19100000</v>
      </c>
    </row>
    <row r="43" spans="2:10" ht="12.75">
      <c r="B43" s="34" t="s">
        <v>48</v>
      </c>
      <c r="C43" s="35"/>
      <c r="D43" s="35"/>
      <c r="E43" s="36">
        <f>SUM(E15:E42)</f>
        <v>1056279772.14</v>
      </c>
      <c r="F43" s="36">
        <f>SUM(F15:F42)</f>
        <v>1198273011.8</v>
      </c>
      <c r="G43" s="36">
        <f>SUM(G15:G42)</f>
        <v>124357938.54</v>
      </c>
      <c r="H43" s="36">
        <f>SUM(H15:H42)</f>
        <v>282666342.28999996</v>
      </c>
      <c r="I43" s="36">
        <f>SUM(I15:I42)</f>
        <v>31513019.56820999</v>
      </c>
      <c r="J43" s="123">
        <f>SUM(J5:J42)</f>
        <v>1071477627.6182101</v>
      </c>
    </row>
    <row r="44" spans="2:10" s="90" customFormat="1" ht="16.5" customHeight="1">
      <c r="B44" s="84"/>
      <c r="C44" s="208"/>
      <c r="D44" s="208"/>
      <c r="E44" s="209"/>
      <c r="F44" s="209"/>
      <c r="G44" s="209"/>
      <c r="H44" s="209"/>
      <c r="I44" s="209"/>
      <c r="J44" s="210"/>
    </row>
    <row r="45" spans="2:10" ht="12.75">
      <c r="B45" s="16" t="s">
        <v>14</v>
      </c>
      <c r="C45" s="13"/>
      <c r="D45" s="13"/>
      <c r="E45" s="37" t="s">
        <v>15</v>
      </c>
      <c r="F45" s="37" t="s">
        <v>15</v>
      </c>
      <c r="G45" s="37" t="s">
        <v>15</v>
      </c>
      <c r="H45" s="37" t="s">
        <v>15</v>
      </c>
      <c r="I45" s="37" t="s">
        <v>15</v>
      </c>
      <c r="J45" s="18" t="s">
        <v>15</v>
      </c>
    </row>
    <row r="46" spans="2:10" ht="12.75">
      <c r="B46" s="16" t="s">
        <v>49</v>
      </c>
      <c r="C46" s="13"/>
      <c r="D46" s="13"/>
      <c r="E46" s="19"/>
      <c r="F46" s="19"/>
      <c r="G46" s="19"/>
      <c r="H46" s="19"/>
      <c r="I46" s="19"/>
      <c r="J46" s="23"/>
    </row>
    <row r="47" spans="2:10" ht="12.75">
      <c r="B47" s="16"/>
      <c r="C47" s="13"/>
      <c r="D47" s="13"/>
      <c r="E47" s="19"/>
      <c r="F47" s="19"/>
      <c r="G47" s="19"/>
      <c r="H47" s="19"/>
      <c r="I47" s="19"/>
      <c r="J47" s="23"/>
    </row>
    <row r="48" spans="2:10" ht="12.75">
      <c r="B48" s="16" t="s">
        <v>50</v>
      </c>
      <c r="C48" s="13"/>
      <c r="D48" s="38"/>
      <c r="E48" s="19"/>
      <c r="F48" s="19"/>
      <c r="G48" s="19"/>
      <c r="H48" s="19"/>
      <c r="I48" s="19"/>
      <c r="J48" s="23"/>
    </row>
    <row r="49" spans="2:10" ht="12.75">
      <c r="B49" s="38" t="s">
        <v>51</v>
      </c>
      <c r="C49" s="13"/>
      <c r="D49" s="38"/>
      <c r="E49" s="19">
        <f aca="true" t="shared" si="0" ref="E49:J49">E43</f>
        <v>1056279772.14</v>
      </c>
      <c r="F49" s="19">
        <f t="shared" si="0"/>
        <v>1198273011.8</v>
      </c>
      <c r="G49" s="19">
        <f t="shared" si="0"/>
        <v>124357938.54</v>
      </c>
      <c r="H49" s="19">
        <f t="shared" si="0"/>
        <v>282666342.28999996</v>
      </c>
      <c r="I49" s="19">
        <f t="shared" si="0"/>
        <v>31513019.56820999</v>
      </c>
      <c r="J49" s="20">
        <f t="shared" si="0"/>
        <v>1071477627.6182101</v>
      </c>
    </row>
    <row r="50" spans="2:9" ht="12.75">
      <c r="B50" s="21" t="s">
        <v>264</v>
      </c>
      <c r="C50" s="13"/>
      <c r="D50" s="14"/>
      <c r="E50" s="19"/>
      <c r="F50" s="19"/>
      <c r="G50" s="19"/>
      <c r="H50" s="19"/>
      <c r="I50" s="19"/>
    </row>
    <row r="51" spans="2:10" ht="12.75">
      <c r="B51" s="14" t="s">
        <v>263</v>
      </c>
      <c r="C51" s="13"/>
      <c r="D51" s="13"/>
      <c r="E51" s="19"/>
      <c r="F51" s="19"/>
      <c r="G51" s="19"/>
      <c r="H51" s="19"/>
      <c r="I51" s="19"/>
      <c r="J51" s="23"/>
    </row>
    <row r="52" spans="2:10" ht="12.75">
      <c r="B52" s="14" t="s">
        <v>46</v>
      </c>
      <c r="C52" s="13" t="s">
        <v>47</v>
      </c>
      <c r="D52" s="13" t="s">
        <v>26</v>
      </c>
      <c r="E52" s="19">
        <v>60000000</v>
      </c>
      <c r="F52" s="19">
        <v>34000000</v>
      </c>
      <c r="G52" s="19"/>
      <c r="H52" s="19"/>
      <c r="I52" s="19"/>
      <c r="J52" s="26">
        <f>F52+G52-H52+I52</f>
        <v>34000000</v>
      </c>
    </row>
    <row r="53" spans="2:10" ht="12.75">
      <c r="B53" s="14" t="s">
        <v>261</v>
      </c>
      <c r="C53" s="13" t="s">
        <v>228</v>
      </c>
      <c r="D53" s="13" t="s">
        <v>26</v>
      </c>
      <c r="E53" s="19">
        <v>25341231.5</v>
      </c>
      <c r="F53" s="19"/>
      <c r="G53" s="19">
        <v>25341231.5</v>
      </c>
      <c r="H53" s="19"/>
      <c r="I53" s="19"/>
      <c r="J53" s="26">
        <f>F53+G53-H53+I53</f>
        <v>25341231.5</v>
      </c>
    </row>
    <row r="54" spans="2:10" ht="12.75">
      <c r="B54" s="148" t="s">
        <v>265</v>
      </c>
      <c r="C54" s="13"/>
      <c r="D54" s="38"/>
      <c r="E54" s="146">
        <f aca="true" t="shared" si="1" ref="E54:J54">SUM(E49:E53)</f>
        <v>1141621003.6399999</v>
      </c>
      <c r="F54" s="146">
        <f t="shared" si="1"/>
        <v>1232273011.8</v>
      </c>
      <c r="G54" s="146">
        <f t="shared" si="1"/>
        <v>149699170.04000002</v>
      </c>
      <c r="H54" s="146">
        <f t="shared" si="1"/>
        <v>282666342.28999996</v>
      </c>
      <c r="I54" s="146">
        <f t="shared" si="1"/>
        <v>31513019.56820999</v>
      </c>
      <c r="J54" s="147">
        <f t="shared" si="1"/>
        <v>1130818859.11821</v>
      </c>
    </row>
    <row r="55" spans="2:9" ht="12.75">
      <c r="B55" s="38"/>
      <c r="C55" s="13"/>
      <c r="D55" s="38"/>
      <c r="E55" s="19"/>
      <c r="F55" s="19"/>
      <c r="G55" s="19"/>
      <c r="H55" s="19"/>
      <c r="I55" s="19"/>
    </row>
    <row r="56" spans="2:10" ht="12.75">
      <c r="B56" s="21" t="s">
        <v>52</v>
      </c>
      <c r="C56" s="13"/>
      <c r="D56" s="13"/>
      <c r="E56" s="19"/>
      <c r="F56" s="19"/>
      <c r="G56" s="19"/>
      <c r="H56" s="19"/>
      <c r="I56" s="19"/>
      <c r="J56" s="23"/>
    </row>
    <row r="57" spans="2:10" ht="12.75">
      <c r="B57" s="14" t="s">
        <v>53</v>
      </c>
      <c r="C57" s="13"/>
      <c r="D57" s="13"/>
      <c r="E57" s="29"/>
      <c r="F57" s="19"/>
      <c r="G57" s="19"/>
      <c r="H57" s="19"/>
      <c r="I57" s="19"/>
      <c r="J57" s="23"/>
    </row>
    <row r="58" spans="2:10" ht="12.75">
      <c r="B58" s="13" t="s">
        <v>54</v>
      </c>
      <c r="C58" s="13" t="s">
        <v>55</v>
      </c>
      <c r="D58" s="24" t="s">
        <v>23</v>
      </c>
      <c r="E58" s="19">
        <v>194238714.51</v>
      </c>
      <c r="F58" s="19">
        <v>39296000</v>
      </c>
      <c r="G58" s="19"/>
      <c r="H58" s="25">
        <v>20124000</v>
      </c>
      <c r="I58" s="39">
        <v>1199020</v>
      </c>
      <c r="J58" s="26">
        <f>F58+G58-H58+I58</f>
        <v>20371020</v>
      </c>
    </row>
    <row r="59" spans="2:10" ht="12.75">
      <c r="B59" s="14" t="s">
        <v>339</v>
      </c>
      <c r="C59" s="30" t="s">
        <v>328</v>
      </c>
      <c r="D59" s="13" t="s">
        <v>26</v>
      </c>
      <c r="E59" s="25">
        <f>67677058.91+G59</f>
        <v>116045230.93</v>
      </c>
      <c r="F59" s="19">
        <v>67275487.62</v>
      </c>
      <c r="G59" s="25">
        <v>48368172.02</v>
      </c>
      <c r="H59" s="25">
        <v>13241592</v>
      </c>
      <c r="I59" s="40">
        <v>2313108.39</v>
      </c>
      <c r="J59" s="26">
        <f>F59+G59-H59+I59</f>
        <v>104715176.03000002</v>
      </c>
    </row>
    <row r="60" spans="1:10" ht="18.75">
      <c r="A60" s="193">
        <v>180</v>
      </c>
      <c r="B60" s="14"/>
      <c r="C60" s="13"/>
      <c r="D60" s="13"/>
      <c r="E60" s="19"/>
      <c r="F60" s="19"/>
      <c r="G60" s="19"/>
      <c r="H60" s="19"/>
      <c r="I60" s="19"/>
      <c r="J60" s="23"/>
    </row>
    <row r="61" spans="2:10" ht="12.75">
      <c r="B61" s="14" t="s">
        <v>56</v>
      </c>
      <c r="C61" s="13" t="s">
        <v>57</v>
      </c>
      <c r="D61" s="13" t="s">
        <v>26</v>
      </c>
      <c r="E61" s="19">
        <v>13565815.9</v>
      </c>
      <c r="F61" s="19">
        <v>616627.9</v>
      </c>
      <c r="G61" s="19"/>
      <c r="H61" s="25"/>
      <c r="I61" s="19"/>
      <c r="J61" s="26">
        <f>F61+G61-H61+I61</f>
        <v>616627.9</v>
      </c>
    </row>
    <row r="62" spans="2:10" ht="12.75">
      <c r="B62" s="21"/>
      <c r="C62" s="13"/>
      <c r="D62" s="13"/>
      <c r="E62" s="19"/>
      <c r="F62" s="29"/>
      <c r="G62" s="19"/>
      <c r="H62" s="19"/>
      <c r="I62" s="19"/>
      <c r="J62" s="23"/>
    </row>
    <row r="63" spans="2:10" ht="12.75">
      <c r="B63" s="14" t="s">
        <v>58</v>
      </c>
      <c r="C63" s="13" t="s">
        <v>59</v>
      </c>
      <c r="D63" s="13" t="s">
        <v>26</v>
      </c>
      <c r="E63" s="19">
        <v>1096348.16</v>
      </c>
      <c r="F63" s="19">
        <v>149502.16</v>
      </c>
      <c r="G63" s="19"/>
      <c r="H63" s="41">
        <v>49834</v>
      </c>
      <c r="I63" s="19"/>
      <c r="J63" s="26">
        <f>F63+G63-H63+I63</f>
        <v>99668.16</v>
      </c>
    </row>
    <row r="64" spans="2:10" ht="12.75">
      <c r="B64" s="21"/>
      <c r="C64" s="13"/>
      <c r="D64" s="13"/>
      <c r="E64" s="19"/>
      <c r="F64" s="19"/>
      <c r="G64" s="19"/>
      <c r="H64" s="19"/>
      <c r="I64" s="19"/>
      <c r="J64" s="23"/>
    </row>
    <row r="65" spans="2:10" ht="12.75">
      <c r="B65" s="14" t="s">
        <v>60</v>
      </c>
      <c r="C65" s="13"/>
      <c r="D65" s="13"/>
      <c r="E65" s="19"/>
      <c r="F65" s="19"/>
      <c r="G65" s="19"/>
      <c r="H65" s="19"/>
      <c r="I65" s="19"/>
      <c r="J65" s="23"/>
    </row>
    <row r="66" spans="2:10" ht="12.75">
      <c r="B66" s="42" t="s">
        <v>61</v>
      </c>
      <c r="C66" s="13" t="s">
        <v>62</v>
      </c>
      <c r="D66" s="13" t="s">
        <v>26</v>
      </c>
      <c r="E66" s="19">
        <v>52597492.61</v>
      </c>
      <c r="F66" s="28">
        <v>42307304.13</v>
      </c>
      <c r="G66" s="19"/>
      <c r="H66" s="25">
        <v>3792900</v>
      </c>
      <c r="I66" s="25">
        <v>-116321.56</v>
      </c>
      <c r="J66" s="26">
        <f>F66+G66-H66+I66</f>
        <v>38398082.57</v>
      </c>
    </row>
    <row r="67" spans="2:10" ht="12.75">
      <c r="B67" s="42"/>
      <c r="C67" s="13"/>
      <c r="D67" s="13"/>
      <c r="E67" s="19"/>
      <c r="F67" s="28"/>
      <c r="G67" s="19"/>
      <c r="H67" s="19"/>
      <c r="I67" s="19"/>
      <c r="J67" s="23"/>
    </row>
    <row r="68" spans="2:10" ht="12.75">
      <c r="B68" s="42" t="s">
        <v>63</v>
      </c>
      <c r="C68" s="30" t="s">
        <v>329</v>
      </c>
      <c r="D68" s="13" t="s">
        <v>26</v>
      </c>
      <c r="E68" s="19">
        <f>81697746.34+G68</f>
        <v>171305091.2</v>
      </c>
      <c r="F68" s="19">
        <v>101622039.77999999</v>
      </c>
      <c r="G68" s="25">
        <v>89607344.86</v>
      </c>
      <c r="H68" s="25">
        <v>15448730.41</v>
      </c>
      <c r="I68" s="40">
        <v>2228765.48</v>
      </c>
      <c r="J68" s="26">
        <f>F68+G68-H68+I68</f>
        <v>178009419.70999998</v>
      </c>
    </row>
    <row r="69" spans="2:10" ht="12.75">
      <c r="B69" s="42"/>
      <c r="C69" s="13"/>
      <c r="D69" s="13"/>
      <c r="E69" s="19"/>
      <c r="F69" s="19"/>
      <c r="G69" s="19"/>
      <c r="H69" s="19"/>
      <c r="I69" s="19"/>
      <c r="J69" s="23"/>
    </row>
    <row r="70" spans="2:10" ht="12.75">
      <c r="B70" s="14" t="s">
        <v>64</v>
      </c>
      <c r="C70" s="13"/>
      <c r="D70" s="13"/>
      <c r="E70" s="19"/>
      <c r="F70" s="19"/>
      <c r="G70" s="19"/>
      <c r="H70" s="19"/>
      <c r="I70" s="19"/>
      <c r="J70" s="23"/>
    </row>
    <row r="71" spans="2:10" ht="12.75">
      <c r="B71" s="14" t="s">
        <v>65</v>
      </c>
      <c r="C71" s="13" t="s">
        <v>66</v>
      </c>
      <c r="D71" s="13" t="s">
        <v>26</v>
      </c>
      <c r="E71" s="19">
        <v>100141535.06</v>
      </c>
      <c r="F71" s="19">
        <v>38941971.02999999</v>
      </c>
      <c r="G71" s="19"/>
      <c r="H71" s="25">
        <f>3839006.92*2</f>
        <v>7678013.84</v>
      </c>
      <c r="I71" s="19"/>
      <c r="J71" s="26">
        <f>F71+G71-H71+I71</f>
        <v>31263957.189999986</v>
      </c>
    </row>
    <row r="72" spans="2:10" ht="12.75">
      <c r="B72" s="14" t="s">
        <v>67</v>
      </c>
      <c r="C72" s="13"/>
      <c r="D72" s="43"/>
      <c r="E72" s="29"/>
      <c r="F72" s="29"/>
      <c r="G72" s="29"/>
      <c r="H72" s="29"/>
      <c r="I72" s="29"/>
      <c r="J72" s="44"/>
    </row>
    <row r="73" spans="2:10" ht="12.75">
      <c r="B73" s="14" t="s">
        <v>68</v>
      </c>
      <c r="C73" s="13" t="s">
        <v>69</v>
      </c>
      <c r="D73" s="13" t="s">
        <v>26</v>
      </c>
      <c r="E73" s="19">
        <v>263496680.73</v>
      </c>
      <c r="F73" s="19">
        <v>301498609.57</v>
      </c>
      <c r="G73" s="19"/>
      <c r="H73" s="25">
        <v>41960747.96</v>
      </c>
      <c r="I73" s="25">
        <v>8342109.23</v>
      </c>
      <c r="J73" s="26">
        <f>F73+G73-H73+I73</f>
        <v>267879970.83999997</v>
      </c>
    </row>
    <row r="74" spans="2:10" ht="9.75" customHeight="1">
      <c r="B74" s="14"/>
      <c r="C74" s="13"/>
      <c r="D74" s="13"/>
      <c r="E74" s="19"/>
      <c r="F74" s="19"/>
      <c r="G74" s="19"/>
      <c r="H74" s="19"/>
      <c r="I74" s="19"/>
      <c r="J74" s="23"/>
    </row>
    <row r="75" spans="2:10" ht="12.75">
      <c r="B75" s="27" t="s">
        <v>70</v>
      </c>
      <c r="C75" s="13"/>
      <c r="D75" s="13"/>
      <c r="E75" s="19"/>
      <c r="F75" s="19"/>
      <c r="G75" s="19"/>
      <c r="H75" s="19"/>
      <c r="I75" s="19"/>
      <c r="J75" s="23"/>
    </row>
    <row r="76" spans="2:10" ht="12.75">
      <c r="B76" s="27" t="s">
        <v>71</v>
      </c>
      <c r="C76" s="30" t="s">
        <v>266</v>
      </c>
      <c r="D76" s="13" t="s">
        <v>26</v>
      </c>
      <c r="E76" s="25">
        <f>134851810.18+10629147.26+6440997.1+9658339.1</f>
        <v>161580293.64</v>
      </c>
      <c r="F76" s="19">
        <v>133947607.00000003</v>
      </c>
      <c r="G76" s="25">
        <v>2683024.2</v>
      </c>
      <c r="H76" s="25">
        <v>8312660.34</v>
      </c>
      <c r="I76" s="19">
        <v>0</v>
      </c>
      <c r="J76" s="26">
        <f>F76+G76-H76+I76</f>
        <v>128317970.86000001</v>
      </c>
    </row>
    <row r="77" spans="2:10" ht="12.75">
      <c r="B77" s="45" t="s">
        <v>72</v>
      </c>
      <c r="C77" s="30" t="s">
        <v>266</v>
      </c>
      <c r="D77" s="13" t="s">
        <v>26</v>
      </c>
      <c r="E77" s="25">
        <f>33068776.7+6906073.22+4517150.17+4876650.26</f>
        <v>49368650.35</v>
      </c>
      <c r="F77" s="19">
        <v>46532694.449999996</v>
      </c>
      <c r="G77" s="25">
        <v>5765765.81</v>
      </c>
      <c r="H77" s="25">
        <v>1244225.68</v>
      </c>
      <c r="I77" s="19">
        <v>0</v>
      </c>
      <c r="J77" s="26">
        <f>F77+G77-H77+I77</f>
        <v>51054234.58</v>
      </c>
    </row>
    <row r="78" spans="2:10" ht="12.75">
      <c r="B78" s="14" t="s">
        <v>73</v>
      </c>
      <c r="C78" s="30" t="s">
        <v>266</v>
      </c>
      <c r="D78" s="13" t="s">
        <v>26</v>
      </c>
      <c r="E78" s="25">
        <f>503606060.66+13100534.39+12931684.24+10554136.67</f>
        <v>540192415.96</v>
      </c>
      <c r="F78" s="19">
        <v>448893344.41</v>
      </c>
      <c r="G78" s="25">
        <v>31898703.22</v>
      </c>
      <c r="H78" s="25">
        <v>31203754.74</v>
      </c>
      <c r="I78" s="19">
        <v>0</v>
      </c>
      <c r="J78" s="26">
        <f>F78+G78-H78+I78</f>
        <v>449588292.89</v>
      </c>
    </row>
    <row r="79" spans="2:10" ht="12.75">
      <c r="B79" s="14" t="s">
        <v>74</v>
      </c>
      <c r="C79" s="30" t="s">
        <v>266</v>
      </c>
      <c r="D79" s="13" t="s">
        <v>26</v>
      </c>
      <c r="E79" s="25">
        <f>160978654.2+3730100.21+4492092.04+7001304.96</f>
        <v>176202151.41</v>
      </c>
      <c r="F79" s="19">
        <v>161020284.24</v>
      </c>
      <c r="G79" s="25">
        <v>9686705.16</v>
      </c>
      <c r="H79" s="25">
        <v>6507735.32</v>
      </c>
      <c r="I79" s="19">
        <v>0</v>
      </c>
      <c r="J79" s="26">
        <f>F79+G79-H79+I79</f>
        <v>164199254.08</v>
      </c>
    </row>
    <row r="80" spans="2:10" ht="12.75">
      <c r="B80" s="58" t="s">
        <v>267</v>
      </c>
      <c r="C80" s="35"/>
      <c r="D80" s="34"/>
      <c r="E80" s="146">
        <f aca="true" t="shared" si="2" ref="E80:J80">SUM(E58:E79)</f>
        <v>1839830420.4599998</v>
      </c>
      <c r="F80" s="146">
        <f t="shared" si="2"/>
        <v>1382101472.29</v>
      </c>
      <c r="G80" s="146">
        <f t="shared" si="2"/>
        <v>188009715.26999998</v>
      </c>
      <c r="H80" s="146">
        <f t="shared" si="2"/>
        <v>149564194.29000002</v>
      </c>
      <c r="I80" s="146">
        <f t="shared" si="2"/>
        <v>13966681.540000001</v>
      </c>
      <c r="J80" s="123">
        <f t="shared" si="2"/>
        <v>1434513674.81</v>
      </c>
    </row>
    <row r="81" spans="2:10" ht="12.75">
      <c r="B81" s="46"/>
      <c r="C81" s="151"/>
      <c r="D81" s="151"/>
      <c r="E81" s="152"/>
      <c r="F81" s="152"/>
      <c r="G81" s="152"/>
      <c r="H81" s="152"/>
      <c r="I81" s="152"/>
      <c r="J81" s="153"/>
    </row>
    <row r="82" spans="2:10" ht="12.75">
      <c r="B82" s="16" t="s">
        <v>14</v>
      </c>
      <c r="C82" s="13"/>
      <c r="D82" s="13"/>
      <c r="E82" s="37" t="s">
        <v>15</v>
      </c>
      <c r="F82" s="37" t="s">
        <v>15</v>
      </c>
      <c r="G82" s="37" t="s">
        <v>15</v>
      </c>
      <c r="H82" s="37" t="s">
        <v>15</v>
      </c>
      <c r="I82" s="37" t="s">
        <v>15</v>
      </c>
      <c r="J82" s="18" t="s">
        <v>15</v>
      </c>
    </row>
    <row r="83" spans="2:10" ht="12.75">
      <c r="B83" s="16" t="s">
        <v>49</v>
      </c>
      <c r="C83" s="13"/>
      <c r="D83" s="13"/>
      <c r="E83" s="19"/>
      <c r="F83" s="19"/>
      <c r="G83" s="19"/>
      <c r="H83" s="19"/>
      <c r="I83" s="19"/>
      <c r="J83" s="23"/>
    </row>
    <row r="84" spans="2:10" ht="12.75">
      <c r="B84" s="14"/>
      <c r="C84" s="13"/>
      <c r="D84" s="13"/>
      <c r="E84" s="19"/>
      <c r="F84" s="19"/>
      <c r="G84" s="19"/>
      <c r="H84" s="19"/>
      <c r="I84" s="19"/>
      <c r="J84" s="23"/>
    </row>
    <row r="85" spans="2:10" ht="12.75">
      <c r="B85" s="16" t="s">
        <v>50</v>
      </c>
      <c r="C85" s="13"/>
      <c r="D85" s="38"/>
      <c r="E85" s="19"/>
      <c r="F85" s="19"/>
      <c r="G85" s="19"/>
      <c r="H85" s="19"/>
      <c r="I85" s="19"/>
      <c r="J85" s="23"/>
    </row>
    <row r="86" spans="2:9" ht="12.75">
      <c r="B86" s="48"/>
      <c r="C86" s="49"/>
      <c r="D86" s="31"/>
      <c r="E86" s="29"/>
      <c r="F86" s="29"/>
      <c r="G86" s="29"/>
      <c r="H86" s="29"/>
      <c r="I86" s="29"/>
    </row>
    <row r="87" spans="2:10" ht="12.75">
      <c r="B87" s="21" t="s">
        <v>75</v>
      </c>
      <c r="C87" s="13"/>
      <c r="D87" s="13"/>
      <c r="E87" s="19"/>
      <c r="F87" s="19"/>
      <c r="G87" s="19"/>
      <c r="H87" s="19"/>
      <c r="I87" s="19"/>
      <c r="J87" s="23"/>
    </row>
    <row r="88" spans="2:10" ht="12.75">
      <c r="B88" s="50" t="s">
        <v>76</v>
      </c>
      <c r="C88" s="13"/>
      <c r="D88" s="13"/>
      <c r="E88" s="19"/>
      <c r="F88" s="19"/>
      <c r="G88" s="19"/>
      <c r="H88" s="19"/>
      <c r="I88" s="19"/>
      <c r="J88" s="23"/>
    </row>
    <row r="89" spans="2:10" ht="12.75">
      <c r="B89" s="14" t="s">
        <v>77</v>
      </c>
      <c r="C89" s="13"/>
      <c r="D89" s="13"/>
      <c r="E89" s="19"/>
      <c r="F89" s="19"/>
      <c r="G89" s="19"/>
      <c r="H89" s="19"/>
      <c r="I89" s="19"/>
      <c r="J89" s="23"/>
    </row>
    <row r="90" spans="2:10" ht="12.75">
      <c r="B90" s="14" t="s">
        <v>78</v>
      </c>
      <c r="C90" s="13" t="s">
        <v>79</v>
      </c>
      <c r="D90" s="13" t="s">
        <v>26</v>
      </c>
      <c r="E90" s="19">
        <v>20408214.43</v>
      </c>
      <c r="F90" s="19">
        <v>30899571.600000005</v>
      </c>
      <c r="G90" s="19">
        <v>0</v>
      </c>
      <c r="H90" s="25">
        <v>1176748.54</v>
      </c>
      <c r="I90" s="25">
        <v>803076.7</v>
      </c>
      <c r="J90" s="26">
        <f>F90+G90-H90+I90</f>
        <v>30525899.760000005</v>
      </c>
    </row>
    <row r="91" spans="2:10" ht="25.5">
      <c r="B91" s="150" t="s">
        <v>273</v>
      </c>
      <c r="C91" s="43"/>
      <c r="D91" s="13"/>
      <c r="E91" s="36">
        <f aca="true" t="shared" si="3" ref="E91:J91">SUM(E90)</f>
        <v>20408214.43</v>
      </c>
      <c r="F91" s="36">
        <f t="shared" si="3"/>
        <v>30899571.600000005</v>
      </c>
      <c r="G91" s="36">
        <f t="shared" si="3"/>
        <v>0</v>
      </c>
      <c r="H91" s="36">
        <f t="shared" si="3"/>
        <v>1176748.54</v>
      </c>
      <c r="I91" s="80">
        <f t="shared" si="3"/>
        <v>803076.7</v>
      </c>
      <c r="J91" s="149">
        <f t="shared" si="3"/>
        <v>30525899.760000005</v>
      </c>
    </row>
    <row r="92" spans="2:10" ht="12.75">
      <c r="B92" s="14"/>
      <c r="C92" s="13"/>
      <c r="D92" s="13"/>
      <c r="E92" s="19"/>
      <c r="F92" s="19"/>
      <c r="G92" s="19"/>
      <c r="H92" s="22"/>
      <c r="I92" s="19"/>
      <c r="J92" s="23"/>
    </row>
    <row r="93" spans="2:10" ht="12.75">
      <c r="B93" s="21" t="s">
        <v>80</v>
      </c>
      <c r="C93" s="13"/>
      <c r="D93" s="13"/>
      <c r="E93" s="19"/>
      <c r="F93" s="19"/>
      <c r="G93" s="19"/>
      <c r="H93" s="19"/>
      <c r="I93" s="19"/>
      <c r="J93" s="23"/>
    </row>
    <row r="94" spans="1:10" ht="18.75">
      <c r="A94" s="193">
        <v>181</v>
      </c>
      <c r="B94" s="14" t="s">
        <v>81</v>
      </c>
      <c r="C94" s="13" t="s">
        <v>82</v>
      </c>
      <c r="D94" s="13" t="s">
        <v>26</v>
      </c>
      <c r="E94" s="19">
        <v>5717942.5</v>
      </c>
      <c r="F94" s="19">
        <v>5669085.36</v>
      </c>
      <c r="G94" s="22">
        <v>0</v>
      </c>
      <c r="H94" s="22">
        <v>0</v>
      </c>
      <c r="I94" s="22">
        <v>0</v>
      </c>
      <c r="J94" s="26">
        <f>F94+G94-H94+I94</f>
        <v>5669085.36</v>
      </c>
    </row>
    <row r="95" spans="2:10" ht="12.75">
      <c r="B95" s="150" t="s">
        <v>276</v>
      </c>
      <c r="C95" s="43"/>
      <c r="D95" s="13"/>
      <c r="E95" s="36">
        <f aca="true" t="shared" si="4" ref="E95:J95">E94</f>
        <v>5717942.5</v>
      </c>
      <c r="F95" s="36">
        <f t="shared" si="4"/>
        <v>5669085.36</v>
      </c>
      <c r="G95" s="36">
        <f t="shared" si="4"/>
        <v>0</v>
      </c>
      <c r="H95" s="80">
        <f t="shared" si="4"/>
        <v>0</v>
      </c>
      <c r="I95" s="80">
        <f t="shared" si="4"/>
        <v>0</v>
      </c>
      <c r="J95" s="149">
        <f t="shared" si="4"/>
        <v>5669085.36</v>
      </c>
    </row>
    <row r="96" spans="2:10" ht="12.75">
      <c r="B96" s="14"/>
      <c r="C96" s="13"/>
      <c r="D96" s="13"/>
      <c r="E96" s="19"/>
      <c r="F96" s="19"/>
      <c r="G96" s="19"/>
      <c r="H96" s="19"/>
      <c r="I96" s="19"/>
      <c r="J96" s="23"/>
    </row>
    <row r="97" spans="2:10" ht="12.75">
      <c r="B97" s="51" t="s">
        <v>83</v>
      </c>
      <c r="C97" s="13"/>
      <c r="D97" s="13"/>
      <c r="E97" s="19"/>
      <c r="F97" s="19"/>
      <c r="G97" s="19"/>
      <c r="H97" s="19"/>
      <c r="I97" s="19"/>
      <c r="J97" s="23"/>
    </row>
    <row r="98" spans="2:10" ht="12.75">
      <c r="B98" s="27" t="s">
        <v>84</v>
      </c>
      <c r="C98" s="13" t="s">
        <v>85</v>
      </c>
      <c r="D98" s="13" t="s">
        <v>26</v>
      </c>
      <c r="E98" s="19">
        <v>35439466</v>
      </c>
      <c r="F98" s="19">
        <v>34853882.65</v>
      </c>
      <c r="G98" s="22">
        <v>0</v>
      </c>
      <c r="H98" s="22">
        <v>0</v>
      </c>
      <c r="I98" s="22">
        <v>0</v>
      </c>
      <c r="J98" s="26">
        <f>F98+G98-H98+I98</f>
        <v>34853882.65</v>
      </c>
    </row>
    <row r="99" spans="2:10" ht="12.75">
      <c r="B99" s="27" t="s">
        <v>86</v>
      </c>
      <c r="C99" s="13" t="s">
        <v>87</v>
      </c>
      <c r="D99" s="13" t="s">
        <v>26</v>
      </c>
      <c r="E99" s="19">
        <v>5644058.93</v>
      </c>
      <c r="F99" s="19">
        <v>13324575.31</v>
      </c>
      <c r="G99" s="22">
        <v>0</v>
      </c>
      <c r="H99" s="22">
        <v>0</v>
      </c>
      <c r="I99" s="25">
        <v>335598.08</v>
      </c>
      <c r="J99" s="26">
        <f>F99+G99-H99+I99</f>
        <v>13660173.39</v>
      </c>
    </row>
    <row r="100" spans="2:10" ht="12.75">
      <c r="B100" s="27" t="s">
        <v>88</v>
      </c>
      <c r="C100" s="13"/>
      <c r="D100" s="13"/>
      <c r="E100" s="19"/>
      <c r="F100" s="19"/>
      <c r="G100" s="28"/>
      <c r="H100" s="22"/>
      <c r="I100" s="22"/>
      <c r="J100" s="23"/>
    </row>
    <row r="101" spans="2:10" ht="12.75">
      <c r="B101" s="27" t="s">
        <v>89</v>
      </c>
      <c r="C101" s="13" t="s">
        <v>55</v>
      </c>
      <c r="D101" s="13" t="s">
        <v>26</v>
      </c>
      <c r="E101" s="19">
        <v>172831412.36</v>
      </c>
      <c r="F101" s="19">
        <v>172831412.36</v>
      </c>
      <c r="G101" s="28">
        <v>0</v>
      </c>
      <c r="H101" s="22">
        <v>0</v>
      </c>
      <c r="I101" s="22">
        <v>0</v>
      </c>
      <c r="J101" s="26">
        <f>F101+G101-H101+I101</f>
        <v>172831412.36</v>
      </c>
    </row>
    <row r="102" spans="2:10" ht="12.75">
      <c r="B102" s="27" t="s">
        <v>90</v>
      </c>
      <c r="C102" s="13" t="s">
        <v>91</v>
      </c>
      <c r="D102" s="13" t="s">
        <v>91</v>
      </c>
      <c r="E102" s="19"/>
      <c r="F102" s="19"/>
      <c r="G102" s="19"/>
      <c r="H102" s="22"/>
      <c r="I102" s="22"/>
      <c r="J102" s="23"/>
    </row>
    <row r="103" spans="2:10" ht="12.75">
      <c r="B103" s="27" t="s">
        <v>92</v>
      </c>
      <c r="C103" s="13" t="s">
        <v>93</v>
      </c>
      <c r="D103" s="13" t="s">
        <v>26</v>
      </c>
      <c r="E103" s="19">
        <v>20013485.17</v>
      </c>
      <c r="F103" s="19">
        <v>20013485.17</v>
      </c>
      <c r="G103" s="19">
        <v>0</v>
      </c>
      <c r="H103" s="22">
        <v>0</v>
      </c>
      <c r="I103" s="22">
        <v>0</v>
      </c>
      <c r="J103" s="26">
        <f>F103+G103-H103+I103</f>
        <v>20013485.17</v>
      </c>
    </row>
    <row r="104" spans="2:10" ht="12.75">
      <c r="B104" s="150" t="s">
        <v>275</v>
      </c>
      <c r="C104" s="43"/>
      <c r="D104" s="13"/>
      <c r="E104" s="36">
        <f aca="true" t="shared" si="5" ref="E104:J104">SUM(E98:E103)</f>
        <v>233928422.46000004</v>
      </c>
      <c r="F104" s="36">
        <f t="shared" si="5"/>
        <v>241023355.49</v>
      </c>
      <c r="G104" s="36">
        <f t="shared" si="5"/>
        <v>0</v>
      </c>
      <c r="H104" s="36">
        <f t="shared" si="5"/>
        <v>0</v>
      </c>
      <c r="I104" s="36">
        <f t="shared" si="5"/>
        <v>335598.08</v>
      </c>
      <c r="J104" s="149">
        <f t="shared" si="5"/>
        <v>241358953.57</v>
      </c>
    </row>
    <row r="105" spans="2:10" ht="12.75">
      <c r="B105" s="150"/>
      <c r="C105" s="13"/>
      <c r="D105" s="13"/>
      <c r="E105" s="19"/>
      <c r="F105" s="19"/>
      <c r="G105" s="19"/>
      <c r="H105" s="25"/>
      <c r="I105" s="25"/>
      <c r="J105" s="26"/>
    </row>
    <row r="106" spans="2:10" ht="12.75">
      <c r="B106" s="16" t="s">
        <v>94</v>
      </c>
      <c r="C106" s="13"/>
      <c r="D106" s="13"/>
      <c r="E106" s="19"/>
      <c r="F106" s="19"/>
      <c r="G106" s="19"/>
      <c r="H106" s="19"/>
      <c r="I106" s="19"/>
      <c r="J106" s="23"/>
    </row>
    <row r="107" spans="2:10" ht="12.75">
      <c r="B107" s="16"/>
      <c r="C107" s="13"/>
      <c r="D107" s="13"/>
      <c r="E107" s="19"/>
      <c r="F107" s="19"/>
      <c r="G107" s="19"/>
      <c r="H107" s="19"/>
      <c r="I107" s="19"/>
      <c r="J107" s="23"/>
    </row>
    <row r="108" spans="2:10" ht="12.75">
      <c r="B108" s="27" t="s">
        <v>95</v>
      </c>
      <c r="C108" s="13"/>
      <c r="D108" s="13"/>
      <c r="E108" s="19"/>
      <c r="F108" s="19"/>
      <c r="G108" s="19"/>
      <c r="H108" s="19"/>
      <c r="I108" s="19"/>
      <c r="J108" s="23"/>
    </row>
    <row r="109" spans="2:10" ht="12.75">
      <c r="B109" s="27" t="s">
        <v>96</v>
      </c>
      <c r="C109" s="13" t="s">
        <v>97</v>
      </c>
      <c r="D109" s="13" t="s">
        <v>26</v>
      </c>
      <c r="E109" s="19">
        <v>19472292.8</v>
      </c>
      <c r="F109" s="19">
        <v>33148833.44</v>
      </c>
      <c r="G109" s="22">
        <v>0</v>
      </c>
      <c r="H109" s="41">
        <v>1607614.57</v>
      </c>
      <c r="I109" s="25">
        <v>861875.99</v>
      </c>
      <c r="J109" s="26">
        <f>F109+G109-H109+I109</f>
        <v>32403094.86</v>
      </c>
    </row>
    <row r="110" spans="2:10" ht="12.75">
      <c r="B110" s="155" t="s">
        <v>274</v>
      </c>
      <c r="C110" s="60"/>
      <c r="D110" s="35"/>
      <c r="E110" s="36">
        <f>SUM(E109)</f>
        <v>19472292.8</v>
      </c>
      <c r="F110" s="36">
        <f>SUM(F109)</f>
        <v>33148833.44</v>
      </c>
      <c r="G110" s="36">
        <f>SUM(G109)</f>
        <v>0</v>
      </c>
      <c r="H110" s="36">
        <f>SUM(H109)</f>
        <v>1607614.57</v>
      </c>
      <c r="I110" s="36">
        <f>SUM(I109)</f>
        <v>861875.99</v>
      </c>
      <c r="J110" s="149">
        <f>J109</f>
        <v>32403094.86</v>
      </c>
    </row>
    <row r="111" spans="2:10" s="90" customFormat="1" ht="12.75">
      <c r="B111" s="63"/>
      <c r="C111" s="47"/>
      <c r="D111" s="47"/>
      <c r="E111" s="20"/>
      <c r="F111" s="20"/>
      <c r="G111" s="187"/>
      <c r="H111" s="113"/>
      <c r="I111" s="66"/>
      <c r="J111" s="26"/>
    </row>
    <row r="112" spans="2:10" ht="12.75">
      <c r="B112" s="188"/>
      <c r="C112" s="47"/>
      <c r="D112" s="47"/>
      <c r="E112" s="20"/>
      <c r="F112" s="20"/>
      <c r="G112" s="20"/>
      <c r="H112" s="187"/>
      <c r="I112" s="187"/>
      <c r="J112" s="23"/>
    </row>
    <row r="113" spans="2:10" ht="12.75">
      <c r="B113" s="98"/>
      <c r="C113" s="47"/>
      <c r="D113" s="189"/>
      <c r="E113" s="20"/>
      <c r="F113" s="20"/>
      <c r="G113" s="20"/>
      <c r="H113" s="187"/>
      <c r="I113" s="26"/>
      <c r="J113" s="26"/>
    </row>
    <row r="114" spans="2:10" ht="12.75">
      <c r="B114" s="154"/>
      <c r="C114" s="47"/>
      <c r="D114" s="47"/>
      <c r="E114" s="20"/>
      <c r="F114" s="20"/>
      <c r="G114" s="20"/>
      <c r="H114" s="20"/>
      <c r="I114" s="20"/>
      <c r="J114" s="26"/>
    </row>
    <row r="115" spans="2:10" s="90" customFormat="1" ht="12.75">
      <c r="B115" s="154"/>
      <c r="C115" s="43"/>
      <c r="D115" s="43"/>
      <c r="E115" s="29"/>
      <c r="F115" s="29"/>
      <c r="G115" s="29"/>
      <c r="H115" s="64"/>
      <c r="I115" s="64"/>
      <c r="J115" s="26"/>
    </row>
    <row r="116" spans="2:10" ht="12.75">
      <c r="B116" s="16" t="s">
        <v>101</v>
      </c>
      <c r="C116" s="13"/>
      <c r="D116" s="13"/>
      <c r="E116" s="37" t="s">
        <v>15</v>
      </c>
      <c r="F116" s="37" t="s">
        <v>15</v>
      </c>
      <c r="G116" s="37" t="s">
        <v>15</v>
      </c>
      <c r="H116" s="37" t="s">
        <v>15</v>
      </c>
      <c r="I116" s="37" t="s">
        <v>15</v>
      </c>
      <c r="J116" s="18" t="s">
        <v>15</v>
      </c>
    </row>
    <row r="117" spans="2:10" ht="12.75">
      <c r="B117" s="16" t="s">
        <v>49</v>
      </c>
      <c r="C117" s="13"/>
      <c r="D117" s="13"/>
      <c r="E117" s="19"/>
      <c r="F117" s="19"/>
      <c r="G117" s="22"/>
      <c r="H117" s="22"/>
      <c r="I117" s="19"/>
      <c r="J117" s="23"/>
    </row>
    <row r="118" spans="2:10" ht="12.75">
      <c r="B118" s="27"/>
      <c r="C118" s="13"/>
      <c r="D118" s="13"/>
      <c r="E118" s="19"/>
      <c r="F118" s="19"/>
      <c r="G118" s="22"/>
      <c r="H118" s="22"/>
      <c r="I118" s="19"/>
      <c r="J118" s="23"/>
    </row>
    <row r="119" spans="2:10" ht="12.75">
      <c r="B119" s="16" t="s">
        <v>50</v>
      </c>
      <c r="C119" s="13"/>
      <c r="D119" s="13"/>
      <c r="E119" s="19"/>
      <c r="F119" s="19"/>
      <c r="G119" s="22"/>
      <c r="H119" s="22"/>
      <c r="I119" s="19"/>
      <c r="J119" s="23"/>
    </row>
    <row r="120" spans="2:10" ht="12.75">
      <c r="B120" s="27"/>
      <c r="C120" s="13"/>
      <c r="D120" s="13"/>
      <c r="E120" s="19"/>
      <c r="F120" s="19"/>
      <c r="G120" s="22"/>
      <c r="H120" s="22"/>
      <c r="I120" s="19"/>
      <c r="J120" s="23"/>
    </row>
    <row r="121" spans="2:10" ht="12.75">
      <c r="B121" s="16" t="s">
        <v>102</v>
      </c>
      <c r="C121" s="13"/>
      <c r="D121" s="13"/>
      <c r="E121" s="19"/>
      <c r="F121" s="19"/>
      <c r="G121" s="19"/>
      <c r="H121" s="19"/>
      <c r="I121" s="19"/>
      <c r="J121" s="23"/>
    </row>
    <row r="122" spans="2:10" ht="12.75">
      <c r="B122" s="27" t="s">
        <v>103</v>
      </c>
      <c r="C122" s="13"/>
      <c r="D122" s="13"/>
      <c r="E122" s="19"/>
      <c r="F122" s="19"/>
      <c r="G122" s="19"/>
      <c r="H122" s="19"/>
      <c r="I122" s="19"/>
      <c r="J122" s="23"/>
    </row>
    <row r="123" spans="2:10" ht="12.75">
      <c r="B123" s="54" t="s">
        <v>104</v>
      </c>
      <c r="C123" s="13" t="s">
        <v>105</v>
      </c>
      <c r="D123" s="13" t="s">
        <v>26</v>
      </c>
      <c r="E123" s="19">
        <v>38495988.16</v>
      </c>
      <c r="F123" s="19">
        <v>37787838.33</v>
      </c>
      <c r="G123" s="22"/>
      <c r="H123" s="22"/>
      <c r="I123" s="22"/>
      <c r="J123" s="26">
        <f>F123+G123-H123+I123</f>
        <v>37787838.33</v>
      </c>
    </row>
    <row r="124" spans="2:10" ht="12.75">
      <c r="B124" s="27" t="s">
        <v>103</v>
      </c>
      <c r="C124" s="13" t="s">
        <v>106</v>
      </c>
      <c r="D124" s="13" t="s">
        <v>26</v>
      </c>
      <c r="E124" s="19">
        <v>111403598.01</v>
      </c>
      <c r="F124" s="19">
        <v>110764491</v>
      </c>
      <c r="G124" s="28"/>
      <c r="H124" s="22"/>
      <c r="I124" s="22"/>
      <c r="J124" s="26">
        <f>F124+G124-H124+I124</f>
        <v>110764491</v>
      </c>
    </row>
    <row r="125" spans="2:10" ht="12.75">
      <c r="B125" s="27" t="s">
        <v>107</v>
      </c>
      <c r="C125" s="13" t="s">
        <v>108</v>
      </c>
      <c r="D125" s="13" t="s">
        <v>26</v>
      </c>
      <c r="E125" s="19">
        <v>6122942</v>
      </c>
      <c r="F125" s="19">
        <v>5519118.34</v>
      </c>
      <c r="G125" s="22"/>
      <c r="H125" s="22"/>
      <c r="I125" s="22"/>
      <c r="J125" s="26">
        <f>F125+G125-H125+I125</f>
        <v>5519118.34</v>
      </c>
    </row>
    <row r="126" spans="2:10" ht="12.75">
      <c r="B126" s="150" t="s">
        <v>280</v>
      </c>
      <c r="C126" s="43"/>
      <c r="D126" s="13"/>
      <c r="E126" s="36">
        <f aca="true" t="shared" si="6" ref="E126:J126">SUM(E123:E125)</f>
        <v>156022528.17000002</v>
      </c>
      <c r="F126" s="36">
        <f t="shared" si="6"/>
        <v>154071447.67</v>
      </c>
      <c r="G126" s="36">
        <f t="shared" si="6"/>
        <v>0</v>
      </c>
      <c r="H126" s="36">
        <f t="shared" si="6"/>
        <v>0</v>
      </c>
      <c r="I126" s="36">
        <f t="shared" si="6"/>
        <v>0</v>
      </c>
      <c r="J126" s="123">
        <f t="shared" si="6"/>
        <v>154071447.67</v>
      </c>
    </row>
    <row r="127" spans="2:10" ht="12.75">
      <c r="B127" s="27"/>
      <c r="C127" s="13"/>
      <c r="D127" s="13"/>
      <c r="E127" s="19"/>
      <c r="F127" s="19"/>
      <c r="G127" s="22"/>
      <c r="H127" s="22"/>
      <c r="I127" s="22"/>
      <c r="J127" s="23"/>
    </row>
    <row r="128" spans="2:10" ht="12.75">
      <c r="B128" s="16" t="s">
        <v>109</v>
      </c>
      <c r="C128" s="13"/>
      <c r="D128" s="13"/>
      <c r="E128" s="19"/>
      <c r="F128" s="19"/>
      <c r="G128" s="19"/>
      <c r="H128" s="19"/>
      <c r="I128" s="19"/>
      <c r="J128" s="23"/>
    </row>
    <row r="129" spans="1:10" ht="18.75">
      <c r="A129" s="193">
        <v>182</v>
      </c>
      <c r="B129" s="51" t="s">
        <v>110</v>
      </c>
      <c r="C129" s="13"/>
      <c r="D129" s="13"/>
      <c r="E129" s="19"/>
      <c r="F129" s="19"/>
      <c r="G129" s="19"/>
      <c r="H129" s="19"/>
      <c r="I129" s="19"/>
      <c r="J129" s="23"/>
    </row>
    <row r="130" spans="2:10" ht="12.75">
      <c r="B130" s="27" t="s">
        <v>111</v>
      </c>
      <c r="C130" s="13"/>
      <c r="D130" s="13"/>
      <c r="E130" s="19"/>
      <c r="F130" s="19"/>
      <c r="G130" s="19"/>
      <c r="H130" s="22"/>
      <c r="I130" s="22"/>
      <c r="J130" s="23"/>
    </row>
    <row r="131" spans="2:10" ht="12.75">
      <c r="B131" s="27" t="s">
        <v>112</v>
      </c>
      <c r="C131" s="13" t="s">
        <v>113</v>
      </c>
      <c r="D131" s="24" t="s">
        <v>100</v>
      </c>
      <c r="E131" s="19">
        <v>88534224.88</v>
      </c>
      <c r="F131" s="19">
        <v>101507235.61</v>
      </c>
      <c r="G131" s="19"/>
      <c r="H131" s="41">
        <v>6367366.93</v>
      </c>
      <c r="I131" s="55">
        <v>2568184.83</v>
      </c>
      <c r="J131" s="56">
        <f>F131+G131-H131+I131</f>
        <v>97708053.51</v>
      </c>
    </row>
    <row r="132" spans="2:10" ht="12.75">
      <c r="B132" s="27" t="s">
        <v>114</v>
      </c>
      <c r="C132" s="13" t="s">
        <v>115</v>
      </c>
      <c r="D132" s="13" t="s">
        <v>26</v>
      </c>
      <c r="E132" s="19">
        <v>62727679</v>
      </c>
      <c r="F132" s="19">
        <v>32764838.969999995</v>
      </c>
      <c r="G132" s="28"/>
      <c r="H132" s="41">
        <v>3827694.79</v>
      </c>
      <c r="I132" s="53">
        <v>946435.17</v>
      </c>
      <c r="J132" s="56">
        <f>F132+G132-H132+I132</f>
        <v>29883579.349999998</v>
      </c>
    </row>
    <row r="133" spans="2:10" ht="25.5">
      <c r="B133" s="150" t="s">
        <v>279</v>
      </c>
      <c r="C133" s="43"/>
      <c r="D133" s="13"/>
      <c r="E133" s="36">
        <f aca="true" t="shared" si="7" ref="E133:J133">SUM(E131:E132)</f>
        <v>151261903.88</v>
      </c>
      <c r="F133" s="36">
        <f t="shared" si="7"/>
        <v>134272074.57999998</v>
      </c>
      <c r="G133" s="36">
        <f t="shared" si="7"/>
        <v>0</v>
      </c>
      <c r="H133" s="36">
        <f t="shared" si="7"/>
        <v>10195061.719999999</v>
      </c>
      <c r="I133" s="36">
        <f t="shared" si="7"/>
        <v>3514620</v>
      </c>
      <c r="J133" s="149">
        <f t="shared" si="7"/>
        <v>127591632.86</v>
      </c>
    </row>
    <row r="134" spans="2:10" ht="12.75">
      <c r="B134" s="27"/>
      <c r="C134" s="13"/>
      <c r="D134" s="13"/>
      <c r="E134" s="19"/>
      <c r="F134" s="19"/>
      <c r="G134" s="28"/>
      <c r="H134" s="22"/>
      <c r="I134" s="22"/>
      <c r="J134" s="23"/>
    </row>
    <row r="135" spans="2:10" ht="12.75">
      <c r="B135" s="51" t="s">
        <v>116</v>
      </c>
      <c r="C135" s="13"/>
      <c r="D135" s="13"/>
      <c r="E135" s="19"/>
      <c r="F135" s="19"/>
      <c r="G135" s="19"/>
      <c r="H135" s="19"/>
      <c r="I135" s="19"/>
      <c r="J135" s="23"/>
    </row>
    <row r="136" spans="2:10" ht="12.75">
      <c r="B136" s="27" t="s">
        <v>117</v>
      </c>
      <c r="C136" s="13" t="s">
        <v>99</v>
      </c>
      <c r="D136" s="24" t="s">
        <v>100</v>
      </c>
      <c r="E136" s="19">
        <v>41902150</v>
      </c>
      <c r="F136" s="19">
        <v>41902150</v>
      </c>
      <c r="G136" s="19"/>
      <c r="H136" s="19"/>
      <c r="I136" s="19"/>
      <c r="J136" s="26">
        <f>F136+G136-H136+I136</f>
        <v>41902150</v>
      </c>
    </row>
    <row r="137" spans="2:10" ht="12.75">
      <c r="B137" s="1" t="s">
        <v>118</v>
      </c>
      <c r="C137" s="43" t="s">
        <v>119</v>
      </c>
      <c r="D137" s="13" t="s">
        <v>26</v>
      </c>
      <c r="E137" s="19">
        <v>51075496</v>
      </c>
      <c r="F137" s="19">
        <v>44576604.91</v>
      </c>
      <c r="G137" s="19"/>
      <c r="H137" s="57"/>
      <c r="I137" s="57">
        <v>1075483.79</v>
      </c>
      <c r="J137" s="26">
        <f>F137+G137-H137+I137</f>
        <v>45652088.699999996</v>
      </c>
    </row>
    <row r="138" spans="2:10" ht="12.75">
      <c r="B138" s="150" t="s">
        <v>278</v>
      </c>
      <c r="C138" s="43"/>
      <c r="D138" s="13"/>
      <c r="E138" s="36">
        <f>SUM(E136:E137)</f>
        <v>92977646</v>
      </c>
      <c r="F138" s="36">
        <f>SUM(F136:F137)</f>
        <v>86478754.91</v>
      </c>
      <c r="G138" s="36">
        <f>SUM(G136:G137)</f>
        <v>0</v>
      </c>
      <c r="H138" s="36">
        <f>SUM(H136:H137)</f>
        <v>0</v>
      </c>
      <c r="I138" s="80">
        <f>SUM(I137)</f>
        <v>1075483.79</v>
      </c>
      <c r="J138" s="149">
        <f>SUM(J136:J137)</f>
        <v>87554238.69999999</v>
      </c>
    </row>
    <row r="139" spans="2:10" ht="12.75">
      <c r="B139" s="48"/>
      <c r="C139" s="13"/>
      <c r="D139" s="13"/>
      <c r="E139" s="19"/>
      <c r="F139" s="19"/>
      <c r="G139" s="19"/>
      <c r="H139" s="57"/>
      <c r="I139" s="57"/>
      <c r="J139" s="26"/>
    </row>
    <row r="140" spans="2:10" ht="12.75">
      <c r="B140" s="51" t="s">
        <v>120</v>
      </c>
      <c r="C140" s="13"/>
      <c r="D140" s="13"/>
      <c r="E140" s="19"/>
      <c r="F140" s="19"/>
      <c r="G140" s="19"/>
      <c r="H140" s="19"/>
      <c r="I140" s="19"/>
      <c r="J140" s="23"/>
    </row>
    <row r="141" spans="2:10" ht="12.75">
      <c r="B141" s="27" t="s">
        <v>117</v>
      </c>
      <c r="C141" s="13" t="s">
        <v>13</v>
      </c>
      <c r="D141" s="24" t="s">
        <v>100</v>
      </c>
      <c r="E141" s="19">
        <f>90000000</f>
        <v>90000000</v>
      </c>
      <c r="F141" s="19">
        <v>90000000</v>
      </c>
      <c r="G141" s="19"/>
      <c r="H141" s="19"/>
      <c r="I141" s="19"/>
      <c r="J141" s="26">
        <f>F141+G141-H141+I141</f>
        <v>90000000</v>
      </c>
    </row>
    <row r="142" spans="2:10" ht="12.75">
      <c r="B142" s="27" t="s">
        <v>103</v>
      </c>
      <c r="C142" s="13" t="s">
        <v>228</v>
      </c>
      <c r="D142" s="13" t="s">
        <v>26</v>
      </c>
      <c r="E142" s="19">
        <f>64237345.88</f>
        <v>64237345.88</v>
      </c>
      <c r="F142" s="19">
        <v>0</v>
      </c>
      <c r="G142" s="28">
        <v>64237345.88</v>
      </c>
      <c r="H142" s="22"/>
      <c r="I142" s="22"/>
      <c r="J142" s="26">
        <f>F142+G142-H142+I142</f>
        <v>64237345.88</v>
      </c>
    </row>
    <row r="143" spans="2:10" ht="12.75">
      <c r="B143" s="150" t="s">
        <v>277</v>
      </c>
      <c r="C143" s="43"/>
      <c r="D143" s="13"/>
      <c r="E143" s="36">
        <f aca="true" t="shared" si="8" ref="E143:J143">SUM(E141:E142)</f>
        <v>154237345.88</v>
      </c>
      <c r="F143" s="36">
        <f t="shared" si="8"/>
        <v>90000000</v>
      </c>
      <c r="G143" s="36">
        <f t="shared" si="8"/>
        <v>64237345.88</v>
      </c>
      <c r="H143" s="36">
        <f t="shared" si="8"/>
        <v>0</v>
      </c>
      <c r="I143" s="36">
        <f t="shared" si="8"/>
        <v>0</v>
      </c>
      <c r="J143" s="123">
        <f t="shared" si="8"/>
        <v>154237345.88</v>
      </c>
    </row>
    <row r="144" spans="2:10" ht="18.75" customHeight="1">
      <c r="B144" s="58" t="s">
        <v>281</v>
      </c>
      <c r="C144" s="35"/>
      <c r="D144" s="35"/>
      <c r="E144" s="36">
        <f aca="true" t="shared" si="9" ref="E144:J144">SUM(E54+E80+E91+E95+E104+E110+E114+E126+E133+E138+E143)</f>
        <v>3815477720.22</v>
      </c>
      <c r="F144" s="36">
        <f t="shared" si="9"/>
        <v>3389937607.14</v>
      </c>
      <c r="G144" s="36">
        <f t="shared" si="9"/>
        <v>401946231.19</v>
      </c>
      <c r="H144" s="36">
        <f t="shared" si="9"/>
        <v>445209961.40999997</v>
      </c>
      <c r="I144" s="36">
        <f t="shared" si="9"/>
        <v>52070355.66820999</v>
      </c>
      <c r="J144" s="123">
        <f t="shared" si="9"/>
        <v>3398744232.588211</v>
      </c>
    </row>
    <row r="145" spans="2:10" ht="12.75">
      <c r="B145" s="16" t="s">
        <v>101</v>
      </c>
      <c r="C145" s="13"/>
      <c r="D145" s="13"/>
      <c r="E145" s="37" t="s">
        <v>15</v>
      </c>
      <c r="F145" s="37" t="s">
        <v>15</v>
      </c>
      <c r="G145" s="37" t="s">
        <v>15</v>
      </c>
      <c r="H145" s="37" t="s">
        <v>15</v>
      </c>
      <c r="I145" s="37" t="s">
        <v>15</v>
      </c>
      <c r="J145" s="18" t="s">
        <v>15</v>
      </c>
    </row>
    <row r="146" spans="2:10" ht="12.75">
      <c r="B146" s="16" t="s">
        <v>49</v>
      </c>
      <c r="C146" s="13"/>
      <c r="D146" s="13"/>
      <c r="E146" s="19"/>
      <c r="F146" s="19"/>
      <c r="G146" s="22"/>
      <c r="H146" s="22"/>
      <c r="I146" s="19"/>
      <c r="J146" s="23"/>
    </row>
    <row r="147" spans="2:10" ht="12.75">
      <c r="B147" s="27"/>
      <c r="C147" s="13"/>
      <c r="D147" s="13"/>
      <c r="E147" s="19"/>
      <c r="F147" s="19"/>
      <c r="G147" s="22"/>
      <c r="H147" s="22"/>
      <c r="I147" s="19"/>
      <c r="J147" s="23"/>
    </row>
    <row r="148" spans="2:10" ht="12.75">
      <c r="B148" s="16" t="s">
        <v>121</v>
      </c>
      <c r="C148" s="13"/>
      <c r="D148" s="13"/>
      <c r="E148" s="19"/>
      <c r="F148" s="28"/>
      <c r="G148" s="19"/>
      <c r="H148" s="57"/>
      <c r="I148" s="19"/>
      <c r="J148" s="23"/>
    </row>
    <row r="149" spans="2:10" ht="12.75">
      <c r="B149" s="14" t="s">
        <v>122</v>
      </c>
      <c r="C149" s="13" t="s">
        <v>330</v>
      </c>
      <c r="D149" s="24" t="s">
        <v>123</v>
      </c>
      <c r="E149" s="19">
        <f>2060615.7+560121.45</f>
        <v>2620737.15</v>
      </c>
      <c r="F149" s="28">
        <v>885799.69</v>
      </c>
      <c r="G149" s="25">
        <f>43970.28+3103.92</f>
        <v>47074.2</v>
      </c>
      <c r="H149" s="25">
        <v>102526.06</v>
      </c>
      <c r="I149" s="19">
        <v>0</v>
      </c>
      <c r="J149" s="26">
        <f>F149+G149-H149+I149</f>
        <v>830347.8299999998</v>
      </c>
    </row>
    <row r="150" spans="2:10" ht="12.75">
      <c r="B150" s="14"/>
      <c r="C150" s="13"/>
      <c r="D150" s="13"/>
      <c r="E150" s="19"/>
      <c r="F150" s="19"/>
      <c r="G150" s="19"/>
      <c r="H150" s="57"/>
      <c r="I150" s="19"/>
      <c r="J150" s="23"/>
    </row>
    <row r="151" spans="2:10" ht="12.75">
      <c r="B151" s="14" t="s">
        <v>124</v>
      </c>
      <c r="C151" s="13" t="s">
        <v>125</v>
      </c>
      <c r="D151" s="13" t="s">
        <v>126</v>
      </c>
      <c r="E151" s="19">
        <v>13044132.36</v>
      </c>
      <c r="F151" s="19">
        <v>3114270.1</v>
      </c>
      <c r="G151" s="19"/>
      <c r="H151" s="19">
        <v>0</v>
      </c>
      <c r="I151" s="19">
        <v>0</v>
      </c>
      <c r="J151" s="26">
        <f>F151+G151-H151+I151</f>
        <v>3114270.1</v>
      </c>
    </row>
    <row r="152" spans="2:10" ht="12.75">
      <c r="B152" s="14"/>
      <c r="C152" s="13"/>
      <c r="D152" s="13" t="s">
        <v>127</v>
      </c>
      <c r="E152" s="19"/>
      <c r="F152" s="19"/>
      <c r="G152" s="19"/>
      <c r="H152" s="19"/>
      <c r="I152" s="19"/>
      <c r="J152" s="23"/>
    </row>
    <row r="153" spans="2:10" ht="12.75">
      <c r="B153" s="14" t="s">
        <v>128</v>
      </c>
      <c r="C153" s="47"/>
      <c r="D153" s="43"/>
      <c r="E153" s="29"/>
      <c r="F153" s="29"/>
      <c r="G153" s="29"/>
      <c r="H153" s="29"/>
      <c r="I153" s="29"/>
      <c r="J153" s="23"/>
    </row>
    <row r="154" spans="2:10" ht="12.75">
      <c r="B154" s="14" t="s">
        <v>129</v>
      </c>
      <c r="C154" s="43" t="s">
        <v>130</v>
      </c>
      <c r="D154" s="43" t="s">
        <v>131</v>
      </c>
      <c r="E154" s="29">
        <v>334127.15</v>
      </c>
      <c r="F154" s="28">
        <v>88346.3</v>
      </c>
      <c r="G154" s="29">
        <v>0</v>
      </c>
      <c r="H154" s="29">
        <v>0</v>
      </c>
      <c r="I154" s="29">
        <v>0</v>
      </c>
      <c r="J154" s="26">
        <f>F154+G154-H154+I154</f>
        <v>88346.3</v>
      </c>
    </row>
    <row r="155" spans="2:10" ht="12.75">
      <c r="B155" s="14"/>
      <c r="C155" s="13"/>
      <c r="D155" s="13"/>
      <c r="E155" s="19"/>
      <c r="F155" s="28"/>
      <c r="G155" s="19"/>
      <c r="H155" s="19"/>
      <c r="I155" s="19"/>
      <c r="J155" s="23"/>
    </row>
    <row r="156" spans="2:10" ht="12.75">
      <c r="B156" s="14" t="s">
        <v>132</v>
      </c>
      <c r="C156" s="13"/>
      <c r="D156" s="13"/>
      <c r="E156" s="19"/>
      <c r="F156" s="19"/>
      <c r="G156" s="19"/>
      <c r="H156" s="19"/>
      <c r="I156" s="19"/>
      <c r="J156" s="23"/>
    </row>
    <row r="157" spans="2:10" ht="12.75">
      <c r="B157" s="14" t="s">
        <v>133</v>
      </c>
      <c r="C157" s="13" t="s">
        <v>134</v>
      </c>
      <c r="D157" s="24" t="s">
        <v>100</v>
      </c>
      <c r="E157" s="19">
        <v>546276.87</v>
      </c>
      <c r="F157" s="19">
        <v>212572.44</v>
      </c>
      <c r="G157" s="19">
        <v>0</v>
      </c>
      <c r="H157" s="19">
        <v>0</v>
      </c>
      <c r="I157" s="25">
        <v>18186.75</v>
      </c>
      <c r="J157" s="26">
        <f>F157+G157-H157+I157</f>
        <v>230759.19</v>
      </c>
    </row>
    <row r="158" spans="2:10" ht="12.75">
      <c r="B158" s="16" t="s">
        <v>282</v>
      </c>
      <c r="C158" s="43"/>
      <c r="D158" s="13"/>
      <c r="E158" s="36">
        <f aca="true" t="shared" si="10" ref="E158:J158">SUM(E149:E157)</f>
        <v>16545273.53</v>
      </c>
      <c r="F158" s="36">
        <f t="shared" si="10"/>
        <v>4300988.53</v>
      </c>
      <c r="G158" s="36">
        <f t="shared" si="10"/>
        <v>47074.2</v>
      </c>
      <c r="H158" s="36">
        <f t="shared" si="10"/>
        <v>102526.06</v>
      </c>
      <c r="I158" s="36">
        <f t="shared" si="10"/>
        <v>18186.75</v>
      </c>
      <c r="J158" s="123">
        <f t="shared" si="10"/>
        <v>4263723.42</v>
      </c>
    </row>
    <row r="159" spans="2:10" ht="12.75">
      <c r="B159" s="61"/>
      <c r="C159" s="43"/>
      <c r="D159" s="43"/>
      <c r="E159" s="37"/>
      <c r="F159" s="37"/>
      <c r="G159" s="37"/>
      <c r="H159" s="37"/>
      <c r="I159" s="37"/>
      <c r="J159" s="18"/>
    </row>
    <row r="160" spans="1:10" ht="18.75">
      <c r="A160" s="193">
        <v>183</v>
      </c>
      <c r="B160" s="61" t="s">
        <v>135</v>
      </c>
      <c r="C160" s="43"/>
      <c r="D160" s="43"/>
      <c r="E160" s="29"/>
      <c r="F160" s="29"/>
      <c r="G160" s="29"/>
      <c r="H160" s="29"/>
      <c r="I160" s="29"/>
      <c r="J160" s="23"/>
    </row>
    <row r="161" spans="2:10" ht="12.75">
      <c r="B161" s="62" t="s">
        <v>136</v>
      </c>
      <c r="C161" s="43"/>
      <c r="D161" s="43"/>
      <c r="E161" s="29"/>
      <c r="F161" s="29"/>
      <c r="G161" s="29"/>
      <c r="H161" s="29"/>
      <c r="I161" s="29"/>
      <c r="J161" s="23"/>
    </row>
    <row r="162" spans="2:10" ht="12.75">
      <c r="B162" s="63" t="s">
        <v>137</v>
      </c>
      <c r="C162" s="43"/>
      <c r="D162" s="47"/>
      <c r="E162" s="29"/>
      <c r="F162" s="20"/>
      <c r="G162" s="29"/>
      <c r="H162" s="20"/>
      <c r="I162" s="29"/>
      <c r="J162" s="23"/>
    </row>
    <row r="163" spans="2:10" ht="12.75">
      <c r="B163" s="63" t="s">
        <v>138</v>
      </c>
      <c r="C163" s="43" t="s">
        <v>139</v>
      </c>
      <c r="D163" s="47" t="s">
        <v>26</v>
      </c>
      <c r="E163" s="29">
        <v>65000000</v>
      </c>
      <c r="F163" s="20">
        <v>61388888.89</v>
      </c>
      <c r="G163" s="29">
        <v>0</v>
      </c>
      <c r="H163" s="20">
        <f>3611111.11*3</f>
        <v>10833333.33</v>
      </c>
      <c r="I163" s="29">
        <v>0</v>
      </c>
      <c r="J163" s="26">
        <f>F163+G163-H163+I163</f>
        <v>50555555.56</v>
      </c>
    </row>
    <row r="164" spans="2:10" ht="12.75">
      <c r="B164" s="63" t="s">
        <v>140</v>
      </c>
      <c r="C164" s="43"/>
      <c r="D164" s="47"/>
      <c r="E164" s="29"/>
      <c r="F164" s="20"/>
      <c r="G164" s="29"/>
      <c r="H164" s="20"/>
      <c r="I164" s="29"/>
      <c r="J164" s="23"/>
    </row>
    <row r="165" spans="2:10" ht="12.75">
      <c r="B165" s="63"/>
      <c r="C165" s="43"/>
      <c r="D165" s="47"/>
      <c r="E165" s="29"/>
      <c r="F165" s="20"/>
      <c r="G165" s="29"/>
      <c r="H165" s="20"/>
      <c r="I165" s="29"/>
      <c r="J165" s="23"/>
    </row>
    <row r="166" spans="2:10" ht="12.75">
      <c r="B166" s="63" t="s">
        <v>141</v>
      </c>
      <c r="C166" s="43"/>
      <c r="D166" s="47"/>
      <c r="E166" s="29"/>
      <c r="F166" s="20"/>
      <c r="G166" s="29"/>
      <c r="H166" s="20"/>
      <c r="I166" s="29"/>
      <c r="J166" s="23"/>
    </row>
    <row r="167" spans="2:10" ht="12.75">
      <c r="B167" s="63" t="s">
        <v>142</v>
      </c>
      <c r="C167" s="65" t="s">
        <v>143</v>
      </c>
      <c r="D167" s="47" t="s">
        <v>26</v>
      </c>
      <c r="E167" s="29">
        <f>37174040.26+38733276.25</f>
        <v>75907316.50999999</v>
      </c>
      <c r="F167" s="20">
        <v>47904359.13</v>
      </c>
      <c r="G167" s="64">
        <v>0</v>
      </c>
      <c r="H167" s="66">
        <f>9571164.29+4174902.41*2</f>
        <v>17920969.11</v>
      </c>
      <c r="I167" s="29">
        <v>0</v>
      </c>
      <c r="J167" s="26">
        <f>F167+G167-H167+I167</f>
        <v>29983390.020000003</v>
      </c>
    </row>
    <row r="168" spans="2:10" ht="12.75">
      <c r="B168" s="63"/>
      <c r="C168" s="43"/>
      <c r="D168" s="47"/>
      <c r="E168" s="29"/>
      <c r="F168" s="20"/>
      <c r="G168" s="29"/>
      <c r="H168" s="20"/>
      <c r="I168" s="29"/>
      <c r="J168" s="23"/>
    </row>
    <row r="169" spans="2:10" ht="12.75">
      <c r="B169" s="63" t="s">
        <v>144</v>
      </c>
      <c r="C169" s="43"/>
      <c r="D169" s="47"/>
      <c r="E169" s="29"/>
      <c r="F169" s="20"/>
      <c r="G169" s="29"/>
      <c r="H169" s="20"/>
      <c r="I169" s="29"/>
      <c r="J169" s="23"/>
    </row>
    <row r="170" spans="2:10" ht="12.75">
      <c r="B170" s="63" t="s">
        <v>145</v>
      </c>
      <c r="C170" s="43"/>
      <c r="D170" s="47"/>
      <c r="E170" s="29"/>
      <c r="F170" s="29"/>
      <c r="G170" s="19"/>
      <c r="H170" s="20"/>
      <c r="I170" s="29"/>
      <c r="J170" s="23"/>
    </row>
    <row r="171" spans="2:10" ht="12.75">
      <c r="B171" s="63" t="s">
        <v>146</v>
      </c>
      <c r="C171" s="43"/>
      <c r="D171" s="43"/>
      <c r="E171" s="19"/>
      <c r="F171" s="29"/>
      <c r="G171" s="19"/>
      <c r="H171" s="20"/>
      <c r="I171" s="29"/>
      <c r="J171" s="23"/>
    </row>
    <row r="172" spans="2:10" ht="12.75">
      <c r="B172" s="63" t="s">
        <v>147</v>
      </c>
      <c r="C172" s="43" t="s">
        <v>148</v>
      </c>
      <c r="D172" s="43" t="s">
        <v>26</v>
      </c>
      <c r="E172" s="19">
        <v>104554120.16</v>
      </c>
      <c r="F172" s="29">
        <v>100129120.16</v>
      </c>
      <c r="G172" s="19">
        <v>0</v>
      </c>
      <c r="H172" s="64">
        <f>1475000+2950000</f>
        <v>4425000</v>
      </c>
      <c r="I172" s="19">
        <v>0</v>
      </c>
      <c r="J172" s="26">
        <f>F172+G172-H172+I172</f>
        <v>95704120.16</v>
      </c>
    </row>
    <row r="173" spans="2:10" ht="12.75">
      <c r="B173" s="27"/>
      <c r="C173" s="13"/>
      <c r="D173" s="43"/>
      <c r="E173" s="19"/>
      <c r="F173" s="29"/>
      <c r="G173" s="19"/>
      <c r="H173" s="29"/>
      <c r="I173" s="19"/>
      <c r="J173" s="23"/>
    </row>
    <row r="174" spans="2:10" ht="12.75">
      <c r="B174" s="63" t="s">
        <v>70</v>
      </c>
      <c r="C174" s="43"/>
      <c r="D174" s="43"/>
      <c r="E174" s="19"/>
      <c r="F174" s="29"/>
      <c r="G174" s="19"/>
      <c r="H174" s="20"/>
      <c r="I174" s="29"/>
      <c r="J174" s="23"/>
    </row>
    <row r="175" spans="2:11" ht="12.75">
      <c r="B175" s="63" t="s">
        <v>149</v>
      </c>
      <c r="C175" s="43" t="s">
        <v>150</v>
      </c>
      <c r="D175" s="47" t="s">
        <v>26</v>
      </c>
      <c r="E175" s="29">
        <v>65722325.9</v>
      </c>
      <c r="F175" s="20">
        <v>22977519.64</v>
      </c>
      <c r="G175" s="29">
        <v>0</v>
      </c>
      <c r="H175" s="66">
        <f>824423.75+2333333.33</f>
        <v>3157757.08</v>
      </c>
      <c r="I175" s="29">
        <v>0</v>
      </c>
      <c r="J175" s="26">
        <f>F175+G175-H175+I175</f>
        <v>19819762.560000002</v>
      </c>
      <c r="K175" s="132"/>
    </row>
    <row r="176" spans="2:10" ht="12.75">
      <c r="B176" s="63" t="s">
        <v>151</v>
      </c>
      <c r="C176" s="43"/>
      <c r="D176" s="47"/>
      <c r="E176" s="29"/>
      <c r="F176" s="29"/>
      <c r="G176" s="29"/>
      <c r="H176" s="29"/>
      <c r="I176" s="29"/>
      <c r="J176" s="44"/>
    </row>
    <row r="177" spans="2:10" ht="12.75">
      <c r="B177" s="63" t="s">
        <v>152</v>
      </c>
      <c r="C177" s="43" t="s">
        <v>153</v>
      </c>
      <c r="D177" s="47" t="s">
        <v>26</v>
      </c>
      <c r="E177" s="29">
        <v>15000000</v>
      </c>
      <c r="F177" s="20">
        <v>6000000</v>
      </c>
      <c r="G177" s="29">
        <v>0</v>
      </c>
      <c r="H177" s="66">
        <v>1000000</v>
      </c>
      <c r="I177" s="29">
        <v>0</v>
      </c>
      <c r="J177" s="26">
        <f>F177+G177-H177+I177</f>
        <v>5000000</v>
      </c>
    </row>
    <row r="178" spans="2:10" ht="12.75">
      <c r="B178" s="63" t="s">
        <v>154</v>
      </c>
      <c r="C178" s="43" t="s">
        <v>139</v>
      </c>
      <c r="D178" s="13" t="s">
        <v>26</v>
      </c>
      <c r="E178" s="29">
        <v>10000000</v>
      </c>
      <c r="F178" s="29">
        <v>6643926.31</v>
      </c>
      <c r="G178" s="19">
        <v>0</v>
      </c>
      <c r="H178" s="66">
        <f>666666.66+643926.27</f>
        <v>1310592.9300000002</v>
      </c>
      <c r="I178" s="29">
        <v>0</v>
      </c>
      <c r="J178" s="26">
        <f>F178+G178-H178+I178</f>
        <v>5333333.379999999</v>
      </c>
    </row>
    <row r="179" spans="2:10" ht="12.75">
      <c r="B179" s="67" t="s">
        <v>155</v>
      </c>
      <c r="C179" s="68" t="s">
        <v>156</v>
      </c>
      <c r="D179" s="68" t="s">
        <v>26</v>
      </c>
      <c r="E179" s="19">
        <v>200000000</v>
      </c>
      <c r="F179" s="29">
        <v>200000000</v>
      </c>
      <c r="G179" s="19">
        <v>0</v>
      </c>
      <c r="H179" s="29">
        <v>0</v>
      </c>
      <c r="I179" s="19">
        <v>0</v>
      </c>
      <c r="J179" s="26">
        <f>F179+G179-H179+I179</f>
        <v>200000000</v>
      </c>
    </row>
    <row r="180" spans="2:10" ht="12.75">
      <c r="B180" s="34" t="s">
        <v>48</v>
      </c>
      <c r="C180" s="35"/>
      <c r="D180" s="35"/>
      <c r="E180" s="36">
        <f aca="true" t="shared" si="11" ref="E180:J180">SUM(E163:E179)</f>
        <v>536183762.57</v>
      </c>
      <c r="F180" s="36">
        <f t="shared" si="11"/>
        <v>445043814.13</v>
      </c>
      <c r="G180" s="36">
        <f t="shared" si="11"/>
        <v>0</v>
      </c>
      <c r="H180" s="36">
        <f t="shared" si="11"/>
        <v>38647652.449999996</v>
      </c>
      <c r="I180" s="36">
        <f t="shared" si="11"/>
        <v>0</v>
      </c>
      <c r="J180" s="123">
        <f t="shared" si="11"/>
        <v>406396161.68</v>
      </c>
    </row>
    <row r="181" spans="2:10" s="90" customFormat="1" ht="16.5" customHeight="1">
      <c r="B181" s="84"/>
      <c r="C181" s="208"/>
      <c r="D181" s="208"/>
      <c r="E181" s="209"/>
      <c r="F181" s="209"/>
      <c r="G181" s="209"/>
      <c r="H181" s="209"/>
      <c r="I181" s="209"/>
      <c r="J181" s="210"/>
    </row>
    <row r="182" spans="2:10" ht="12.75">
      <c r="B182" s="16" t="s">
        <v>14</v>
      </c>
      <c r="C182" s="13"/>
      <c r="D182" s="13"/>
      <c r="E182" s="37" t="s">
        <v>15</v>
      </c>
      <c r="F182" s="37" t="s">
        <v>15</v>
      </c>
      <c r="G182" s="37" t="s">
        <v>15</v>
      </c>
      <c r="H182" s="37" t="s">
        <v>15</v>
      </c>
      <c r="I182" s="37" t="s">
        <v>15</v>
      </c>
      <c r="J182" s="18" t="s">
        <v>15</v>
      </c>
    </row>
    <row r="183" spans="2:10" ht="12.75">
      <c r="B183" s="16" t="s">
        <v>49</v>
      </c>
      <c r="C183" s="13"/>
      <c r="D183" s="13"/>
      <c r="E183" s="19"/>
      <c r="F183" s="19"/>
      <c r="G183" s="19"/>
      <c r="H183" s="19"/>
      <c r="I183" s="19"/>
      <c r="J183" s="23"/>
    </row>
    <row r="184" spans="2:10" ht="12.75">
      <c r="B184" s="16"/>
      <c r="C184" s="13"/>
      <c r="D184" s="13"/>
      <c r="E184" s="19"/>
      <c r="F184" s="19"/>
      <c r="G184" s="19"/>
      <c r="H184" s="19"/>
      <c r="I184" s="19"/>
      <c r="J184" s="23"/>
    </row>
    <row r="185" spans="2:10" ht="12.75">
      <c r="B185" s="16" t="s">
        <v>162</v>
      </c>
      <c r="C185" s="13"/>
      <c r="D185" s="38"/>
      <c r="E185" s="19"/>
      <c r="F185" s="19"/>
      <c r="G185" s="19"/>
      <c r="H185" s="19"/>
      <c r="I185" s="19"/>
      <c r="J185" s="23"/>
    </row>
    <row r="186" spans="2:10" ht="12.75">
      <c r="B186" s="38" t="s">
        <v>51</v>
      </c>
      <c r="C186" s="13"/>
      <c r="D186" s="38"/>
      <c r="E186" s="19">
        <f aca="true" t="shared" si="12" ref="E186:J186">E180</f>
        <v>536183762.57</v>
      </c>
      <c r="F186" s="19">
        <f t="shared" si="12"/>
        <v>445043814.13</v>
      </c>
      <c r="G186" s="19">
        <f t="shared" si="12"/>
        <v>0</v>
      </c>
      <c r="H186" s="19">
        <f t="shared" si="12"/>
        <v>38647652.449999996</v>
      </c>
      <c r="I186" s="19">
        <f t="shared" si="12"/>
        <v>0</v>
      </c>
      <c r="J186" s="20">
        <f t="shared" si="12"/>
        <v>406396161.68</v>
      </c>
    </row>
    <row r="187" spans="2:9" ht="25.5">
      <c r="B187" s="156" t="s">
        <v>283</v>
      </c>
      <c r="C187" s="43"/>
      <c r="D187" s="14"/>
      <c r="E187" s="19"/>
      <c r="F187" s="19"/>
      <c r="G187" s="19"/>
      <c r="H187" s="19"/>
      <c r="I187" s="19"/>
    </row>
    <row r="188" spans="2:10" ht="12.75">
      <c r="B188" s="14" t="s">
        <v>263</v>
      </c>
      <c r="C188" s="13"/>
      <c r="D188" s="13"/>
      <c r="E188" s="19"/>
      <c r="F188" s="19"/>
      <c r="G188" s="19"/>
      <c r="H188" s="19"/>
      <c r="I188" s="19"/>
      <c r="J188" s="23"/>
    </row>
    <row r="189" spans="2:10" ht="12.75">
      <c r="B189" s="69" t="s">
        <v>157</v>
      </c>
      <c r="C189" s="13" t="s">
        <v>158</v>
      </c>
      <c r="D189" s="68" t="s">
        <v>26</v>
      </c>
      <c r="E189" s="70">
        <v>40000000</v>
      </c>
      <c r="F189" s="29">
        <v>28571428.58</v>
      </c>
      <c r="G189" s="19">
        <v>0</v>
      </c>
      <c r="H189" s="64">
        <f>20571428.58</f>
        <v>20571428.58</v>
      </c>
      <c r="I189" s="19">
        <v>0</v>
      </c>
      <c r="J189" s="26">
        <f>F189+G189-H189+I189</f>
        <v>8000000</v>
      </c>
    </row>
    <row r="190" spans="2:10" s="76" customFormat="1" ht="12.75">
      <c r="B190" s="69" t="s">
        <v>159</v>
      </c>
      <c r="C190" s="71"/>
      <c r="D190" s="72"/>
      <c r="E190" s="73"/>
      <c r="F190" s="74"/>
      <c r="G190" s="75"/>
      <c r="H190" s="74"/>
      <c r="I190" s="75"/>
      <c r="J190" s="23"/>
    </row>
    <row r="191" spans="2:10" s="76" customFormat="1" ht="12.75">
      <c r="B191" s="69" t="s">
        <v>160</v>
      </c>
      <c r="C191" s="77" t="s">
        <v>161</v>
      </c>
      <c r="D191" s="68" t="s">
        <v>26</v>
      </c>
      <c r="E191" s="78">
        <f>8800000+8249692.85+2319736.84</f>
        <v>19369429.69</v>
      </c>
      <c r="F191" s="74">
        <v>19369429.69</v>
      </c>
      <c r="G191" s="79"/>
      <c r="H191" s="74">
        <v>0</v>
      </c>
      <c r="I191" s="75">
        <v>0</v>
      </c>
      <c r="J191" s="26">
        <f>F191+G191-H191+I191</f>
        <v>19369429.69</v>
      </c>
    </row>
    <row r="192" spans="2:10" s="76" customFormat="1" ht="25.5">
      <c r="B192" s="156" t="s">
        <v>284</v>
      </c>
      <c r="C192" s="157"/>
      <c r="D192" s="68"/>
      <c r="E192" s="158">
        <f aca="true" t="shared" si="13" ref="E192:J192">SUM(E186:E191)</f>
        <v>595553192.26</v>
      </c>
      <c r="F192" s="158">
        <f t="shared" si="13"/>
        <v>492984672.4</v>
      </c>
      <c r="G192" s="158">
        <f t="shared" si="13"/>
        <v>0</v>
      </c>
      <c r="H192" s="158">
        <f t="shared" si="13"/>
        <v>59219081.029999994</v>
      </c>
      <c r="I192" s="158">
        <f t="shared" si="13"/>
        <v>0</v>
      </c>
      <c r="J192" s="159">
        <f t="shared" si="13"/>
        <v>433765591.37</v>
      </c>
    </row>
    <row r="193" spans="2:9" ht="12.75">
      <c r="B193" s="38"/>
      <c r="C193" s="13"/>
      <c r="D193" s="13"/>
      <c r="E193" s="19"/>
      <c r="F193" s="19"/>
      <c r="G193" s="19"/>
      <c r="H193" s="19"/>
      <c r="I193" s="19"/>
    </row>
    <row r="194" spans="1:10" ht="18.75">
      <c r="A194" s="193">
        <v>184</v>
      </c>
      <c r="B194" s="81" t="s">
        <v>163</v>
      </c>
      <c r="C194" s="43"/>
      <c r="D194" s="13"/>
      <c r="E194" s="19"/>
      <c r="F194" s="19"/>
      <c r="G194" s="19"/>
      <c r="H194" s="19"/>
      <c r="I194" s="19"/>
      <c r="J194" s="23"/>
    </row>
    <row r="195" spans="2:9" ht="12.75">
      <c r="B195" s="82" t="s">
        <v>164</v>
      </c>
      <c r="C195" s="43"/>
      <c r="D195" s="13"/>
      <c r="E195" s="83"/>
      <c r="F195" s="29"/>
      <c r="G195" s="29"/>
      <c r="H195" s="29"/>
      <c r="I195" s="29"/>
    </row>
    <row r="196" spans="2:10" ht="12.75">
      <c r="B196" s="63" t="s">
        <v>165</v>
      </c>
      <c r="C196" s="43" t="s">
        <v>166</v>
      </c>
      <c r="D196" s="13" t="s">
        <v>26</v>
      </c>
      <c r="E196" s="20">
        <v>41794315.29</v>
      </c>
      <c r="F196" s="29">
        <v>27404532.529999997</v>
      </c>
      <c r="G196" s="29">
        <v>0</v>
      </c>
      <c r="H196" s="64">
        <f>651991.32+660350.18</f>
        <v>1312341.5</v>
      </c>
      <c r="I196" s="29">
        <v>0</v>
      </c>
      <c r="J196" s="26">
        <f>F196+G196-H196+I196</f>
        <v>26092191.029999997</v>
      </c>
    </row>
    <row r="197" spans="2:10" ht="12.75">
      <c r="B197" s="84" t="s">
        <v>167</v>
      </c>
      <c r="C197" s="43"/>
      <c r="D197" s="13"/>
      <c r="E197" s="19"/>
      <c r="F197" s="19"/>
      <c r="G197" s="19"/>
      <c r="H197" s="19"/>
      <c r="I197" s="19"/>
      <c r="J197" s="23"/>
    </row>
    <row r="198" spans="2:10" ht="12.75">
      <c r="B198" s="84" t="s">
        <v>168</v>
      </c>
      <c r="C198" s="43" t="s">
        <v>169</v>
      </c>
      <c r="D198" s="13" t="s">
        <v>26</v>
      </c>
      <c r="E198" s="19">
        <v>55080000</v>
      </c>
      <c r="F198" s="19">
        <v>19278000</v>
      </c>
      <c r="G198" s="19">
        <v>0</v>
      </c>
      <c r="H198" s="25">
        <v>2754000</v>
      </c>
      <c r="I198" s="19">
        <v>0</v>
      </c>
      <c r="J198" s="26">
        <f>F198+G198-H198+I198</f>
        <v>16524000</v>
      </c>
    </row>
    <row r="199" spans="2:10" ht="12.75">
      <c r="B199" s="63" t="s">
        <v>170</v>
      </c>
      <c r="C199" s="43" t="s">
        <v>171</v>
      </c>
      <c r="D199" s="13" t="s">
        <v>26</v>
      </c>
      <c r="E199" s="19">
        <v>15500000</v>
      </c>
      <c r="F199" s="19">
        <v>5037500</v>
      </c>
      <c r="G199" s="19">
        <v>0</v>
      </c>
      <c r="H199" s="25">
        <v>775000</v>
      </c>
      <c r="I199" s="19">
        <v>0</v>
      </c>
      <c r="J199" s="26">
        <f>F199+G199-H199+I199</f>
        <v>4262500</v>
      </c>
    </row>
    <row r="200" spans="2:10" ht="12.75">
      <c r="B200" s="63"/>
      <c r="C200" s="43"/>
      <c r="D200" s="13"/>
      <c r="E200" s="19"/>
      <c r="F200" s="19"/>
      <c r="G200" s="19"/>
      <c r="H200" s="19"/>
      <c r="I200" s="19"/>
      <c r="J200" s="23"/>
    </row>
    <row r="201" spans="2:10" ht="12.75">
      <c r="B201" s="84" t="s">
        <v>70</v>
      </c>
      <c r="C201" s="43"/>
      <c r="D201" s="13"/>
      <c r="E201" s="19"/>
      <c r="F201" s="19"/>
      <c r="G201" s="19"/>
      <c r="H201" s="19"/>
      <c r="I201" s="19"/>
      <c r="J201" s="23"/>
    </row>
    <row r="202" spans="2:10" ht="12.75">
      <c r="B202" s="84" t="s">
        <v>172</v>
      </c>
      <c r="C202" s="43" t="s">
        <v>173</v>
      </c>
      <c r="D202" s="13" t="s">
        <v>26</v>
      </c>
      <c r="E202" s="19">
        <v>20850000</v>
      </c>
      <c r="F202" s="19">
        <v>10952922.25</v>
      </c>
      <c r="G202" s="19">
        <v>0</v>
      </c>
      <c r="H202" s="25">
        <f>105724.44+206291.6+133518.9+74756+36466.34</f>
        <v>556757.28</v>
      </c>
      <c r="I202" s="19">
        <v>0</v>
      </c>
      <c r="J202" s="56">
        <f>F202+G202-H202+I202</f>
        <v>10396164.97</v>
      </c>
    </row>
    <row r="203" spans="2:10" ht="12.75">
      <c r="B203" s="84" t="s">
        <v>174</v>
      </c>
      <c r="C203" s="43" t="s">
        <v>175</v>
      </c>
      <c r="D203" s="13" t="s">
        <v>26</v>
      </c>
      <c r="E203" s="19">
        <v>30655000</v>
      </c>
      <c r="F203" s="19">
        <v>200305.41</v>
      </c>
      <c r="G203" s="19">
        <v>0</v>
      </c>
      <c r="H203" s="25">
        <v>200305.41</v>
      </c>
      <c r="I203" s="19">
        <v>0</v>
      </c>
      <c r="J203" s="56">
        <f>F203+G203-H203+I203</f>
        <v>0</v>
      </c>
    </row>
    <row r="204" spans="2:10" ht="12.75">
      <c r="B204" s="84" t="s">
        <v>176</v>
      </c>
      <c r="C204" s="43" t="s">
        <v>153</v>
      </c>
      <c r="D204" s="13" t="s">
        <v>26</v>
      </c>
      <c r="E204" s="29">
        <v>82343000</v>
      </c>
      <c r="F204" s="29">
        <v>30378625</v>
      </c>
      <c r="G204" s="29">
        <v>0</v>
      </c>
      <c r="H204" s="64">
        <v>4117150</v>
      </c>
      <c r="I204" s="29">
        <v>0</v>
      </c>
      <c r="J204" s="26">
        <f>F204+G204-H204+I204</f>
        <v>26261475</v>
      </c>
    </row>
    <row r="205" spans="2:10" s="76" customFormat="1" ht="12.75">
      <c r="B205" s="156" t="s">
        <v>285</v>
      </c>
      <c r="C205" s="157"/>
      <c r="D205" s="68"/>
      <c r="E205" s="158">
        <f aca="true" t="shared" si="14" ref="E205:J205">SUM(E196:E204)</f>
        <v>246222315.29</v>
      </c>
      <c r="F205" s="158">
        <f t="shared" si="14"/>
        <v>93251885.19</v>
      </c>
      <c r="G205" s="158">
        <f t="shared" si="14"/>
        <v>0</v>
      </c>
      <c r="H205" s="158">
        <f t="shared" si="14"/>
        <v>9715554.190000001</v>
      </c>
      <c r="I205" s="158">
        <f t="shared" si="14"/>
        <v>0</v>
      </c>
      <c r="J205" s="159">
        <f t="shared" si="14"/>
        <v>83536331</v>
      </c>
    </row>
    <row r="206" spans="2:10" ht="12.75">
      <c r="B206" s="84"/>
      <c r="C206" s="43"/>
      <c r="D206" s="13"/>
      <c r="E206" s="19"/>
      <c r="F206" s="19"/>
      <c r="G206" s="19"/>
      <c r="H206" s="19"/>
      <c r="I206" s="19"/>
      <c r="J206" s="23"/>
    </row>
    <row r="207" spans="2:10" ht="12.75">
      <c r="B207" s="85" t="s">
        <v>177</v>
      </c>
      <c r="C207" s="43">
        <v>1978</v>
      </c>
      <c r="D207" s="13" t="s">
        <v>26</v>
      </c>
      <c r="E207" s="29">
        <v>25555614.38</v>
      </c>
      <c r="F207" s="29">
        <v>4460005.58</v>
      </c>
      <c r="G207" s="29">
        <v>0</v>
      </c>
      <c r="H207" s="29">
        <v>0</v>
      </c>
      <c r="I207" s="29">
        <v>0</v>
      </c>
      <c r="J207" s="26">
        <f>F207+G207-H207+I207</f>
        <v>4460005.58</v>
      </c>
    </row>
    <row r="208" spans="2:10" ht="12.75">
      <c r="B208" s="150" t="s">
        <v>286</v>
      </c>
      <c r="C208" s="43"/>
      <c r="D208" s="13"/>
      <c r="E208" s="36">
        <f aca="true" t="shared" si="15" ref="E208:J208">E207</f>
        <v>25555614.38</v>
      </c>
      <c r="F208" s="36">
        <f t="shared" si="15"/>
        <v>4460005.58</v>
      </c>
      <c r="G208" s="36">
        <f t="shared" si="15"/>
        <v>0</v>
      </c>
      <c r="H208" s="80">
        <f t="shared" si="15"/>
        <v>0</v>
      </c>
      <c r="I208" s="80">
        <f t="shared" si="15"/>
        <v>0</v>
      </c>
      <c r="J208" s="149">
        <f t="shared" si="15"/>
        <v>4460005.58</v>
      </c>
    </row>
    <row r="209" spans="2:10" ht="9" customHeight="1">
      <c r="B209" s="85"/>
      <c r="C209" s="43"/>
      <c r="D209" s="13"/>
      <c r="E209" s="29"/>
      <c r="F209" s="29"/>
      <c r="G209" s="29"/>
      <c r="H209" s="29"/>
      <c r="I209" s="29"/>
      <c r="J209" s="23"/>
    </row>
    <row r="210" spans="2:10" ht="12.75">
      <c r="B210" s="86" t="s">
        <v>178</v>
      </c>
      <c r="C210" s="68"/>
      <c r="D210" s="31"/>
      <c r="E210" s="29"/>
      <c r="F210" s="29"/>
      <c r="G210" s="29"/>
      <c r="H210" s="29"/>
      <c r="I210" s="29"/>
      <c r="J210" s="23"/>
    </row>
    <row r="211" spans="2:10" ht="12.75">
      <c r="B211" s="1" t="s">
        <v>179</v>
      </c>
      <c r="C211" s="68"/>
      <c r="D211" s="68"/>
      <c r="E211" s="29"/>
      <c r="F211" s="29"/>
      <c r="G211" s="29"/>
      <c r="H211" s="29"/>
      <c r="I211" s="29"/>
      <c r="J211" s="23"/>
    </row>
    <row r="212" spans="2:10" s="88" customFormat="1" ht="12.75">
      <c r="B212" s="1" t="s">
        <v>180</v>
      </c>
      <c r="C212" s="87">
        <v>1988</v>
      </c>
      <c r="D212" s="68" t="s">
        <v>26</v>
      </c>
      <c r="E212" s="29">
        <v>880000</v>
      </c>
      <c r="F212" s="29">
        <v>308000</v>
      </c>
      <c r="G212" s="29">
        <v>0</v>
      </c>
      <c r="H212" s="29">
        <v>0</v>
      </c>
      <c r="I212" s="29">
        <v>0</v>
      </c>
      <c r="J212" s="26">
        <f>F212+G212-H212+I212</f>
        <v>308000</v>
      </c>
    </row>
    <row r="213" spans="2:10" ht="12.75">
      <c r="B213" s="84" t="s">
        <v>181</v>
      </c>
      <c r="C213" s="68" t="s">
        <v>182</v>
      </c>
      <c r="D213" s="68" t="s">
        <v>183</v>
      </c>
      <c r="E213" s="29">
        <v>81000000</v>
      </c>
      <c r="F213" s="29">
        <v>81000000</v>
      </c>
      <c r="G213" s="29">
        <v>0</v>
      </c>
      <c r="H213" s="29">
        <v>0</v>
      </c>
      <c r="I213" s="29">
        <v>0</v>
      </c>
      <c r="J213" s="26">
        <f>F213+G213-H213+I213</f>
        <v>81000000</v>
      </c>
    </row>
    <row r="214" spans="2:10" ht="25.5">
      <c r="B214" s="155" t="s">
        <v>287</v>
      </c>
      <c r="C214" s="60"/>
      <c r="D214" s="35"/>
      <c r="E214" s="36">
        <f aca="true" t="shared" si="16" ref="E214:J214">SUM(E212:E213)</f>
        <v>81880000</v>
      </c>
      <c r="F214" s="36">
        <f t="shared" si="16"/>
        <v>81308000</v>
      </c>
      <c r="G214" s="36">
        <f t="shared" si="16"/>
        <v>0</v>
      </c>
      <c r="H214" s="36">
        <f t="shared" si="16"/>
        <v>0</v>
      </c>
      <c r="I214" s="36">
        <f t="shared" si="16"/>
        <v>0</v>
      </c>
      <c r="J214" s="149">
        <f t="shared" si="16"/>
        <v>81308000</v>
      </c>
    </row>
    <row r="215" spans="2:10" s="90" customFormat="1" ht="24" customHeight="1">
      <c r="B215" s="84"/>
      <c r="C215" s="211"/>
      <c r="D215" s="194"/>
      <c r="E215" s="152"/>
      <c r="F215" s="152"/>
      <c r="G215" s="152"/>
      <c r="H215" s="152"/>
      <c r="I215" s="152"/>
      <c r="J215" s="212"/>
    </row>
    <row r="216" spans="2:10" ht="12.75">
      <c r="B216" s="16" t="s">
        <v>14</v>
      </c>
      <c r="C216" s="13"/>
      <c r="D216" s="13"/>
      <c r="E216" s="37" t="s">
        <v>15</v>
      </c>
      <c r="F216" s="37" t="s">
        <v>15</v>
      </c>
      <c r="G216" s="37" t="s">
        <v>15</v>
      </c>
      <c r="H216" s="37" t="s">
        <v>15</v>
      </c>
      <c r="I216" s="37" t="s">
        <v>15</v>
      </c>
      <c r="J216" s="18" t="s">
        <v>15</v>
      </c>
    </row>
    <row r="217" spans="2:10" ht="12.75">
      <c r="B217" s="16" t="s">
        <v>49</v>
      </c>
      <c r="C217" s="13"/>
      <c r="D217" s="13"/>
      <c r="E217" s="19"/>
      <c r="F217" s="19"/>
      <c r="G217" s="19"/>
      <c r="H217" s="19"/>
      <c r="I217" s="19"/>
      <c r="J217" s="23"/>
    </row>
    <row r="218" spans="2:10" ht="12.75">
      <c r="B218" s="16"/>
      <c r="C218" s="13"/>
      <c r="D218" s="13"/>
      <c r="E218" s="19"/>
      <c r="F218" s="19"/>
      <c r="G218" s="19"/>
      <c r="H218" s="19"/>
      <c r="I218" s="19"/>
      <c r="J218" s="23"/>
    </row>
    <row r="219" spans="2:10" ht="12.75">
      <c r="B219" s="16" t="s">
        <v>162</v>
      </c>
      <c r="C219" s="13"/>
      <c r="D219" s="38"/>
      <c r="E219" s="19"/>
      <c r="F219" s="19"/>
      <c r="G219" s="19"/>
      <c r="H219" s="19"/>
      <c r="I219" s="19"/>
      <c r="J219" s="23"/>
    </row>
    <row r="220" spans="2:10" ht="12.75">
      <c r="B220" s="84"/>
      <c r="C220" s="68"/>
      <c r="D220" s="49"/>
      <c r="E220" s="19"/>
      <c r="F220" s="19"/>
      <c r="G220" s="19"/>
      <c r="H220" s="19"/>
      <c r="I220" s="19"/>
      <c r="J220" s="23"/>
    </row>
    <row r="221" spans="2:10" ht="12.75">
      <c r="B221" s="21" t="s">
        <v>184</v>
      </c>
      <c r="C221" s="13"/>
      <c r="D221" s="13"/>
      <c r="E221" s="19"/>
      <c r="F221" s="19"/>
      <c r="G221" s="19"/>
      <c r="H221" s="19"/>
      <c r="I221" s="19"/>
      <c r="J221" s="23"/>
    </row>
    <row r="222" spans="2:10" ht="12.75">
      <c r="B222" s="14" t="s">
        <v>185</v>
      </c>
      <c r="C222" s="13">
        <v>1988</v>
      </c>
      <c r="D222" s="24" t="s">
        <v>100</v>
      </c>
      <c r="E222" s="19">
        <v>25000000</v>
      </c>
      <c r="F222" s="29">
        <v>18600000</v>
      </c>
      <c r="G222" s="19">
        <v>0</v>
      </c>
      <c r="H222" s="25">
        <v>18600000</v>
      </c>
      <c r="I222" s="19">
        <v>0</v>
      </c>
      <c r="J222" s="26">
        <f>F222+G222-H222+I222</f>
        <v>0</v>
      </c>
    </row>
    <row r="223" spans="2:10" ht="12.75">
      <c r="B223" s="14" t="s">
        <v>186</v>
      </c>
      <c r="C223" s="13" t="s">
        <v>187</v>
      </c>
      <c r="D223" s="13" t="s">
        <v>26</v>
      </c>
      <c r="E223" s="19">
        <v>164934882.72</v>
      </c>
      <c r="F223" s="29">
        <v>254874368</v>
      </c>
      <c r="G223" s="19">
        <v>0</v>
      </c>
      <c r="H223" s="25">
        <v>18736069.01</v>
      </c>
      <c r="I223" s="25">
        <v>2496986.21</v>
      </c>
      <c r="J223" s="26">
        <f>F223+G223-H223+I223</f>
        <v>238635285.20000002</v>
      </c>
    </row>
    <row r="224" spans="2:10" ht="12.75">
      <c r="B224" s="150" t="s">
        <v>288</v>
      </c>
      <c r="C224" s="43"/>
      <c r="D224" s="13"/>
      <c r="E224" s="36">
        <f aca="true" t="shared" si="17" ref="E224:J224">SUM(E222:E223)</f>
        <v>189934882.72</v>
      </c>
      <c r="F224" s="36">
        <f t="shared" si="17"/>
        <v>273474368</v>
      </c>
      <c r="G224" s="36">
        <f t="shared" si="17"/>
        <v>0</v>
      </c>
      <c r="H224" s="36">
        <f t="shared" si="17"/>
        <v>37336069.010000005</v>
      </c>
      <c r="I224" s="36">
        <f t="shared" si="17"/>
        <v>2496986.21</v>
      </c>
      <c r="J224" s="149">
        <f t="shared" si="17"/>
        <v>238635285.20000002</v>
      </c>
    </row>
    <row r="225" spans="2:10" ht="12.75">
      <c r="B225" s="14"/>
      <c r="C225" s="13"/>
      <c r="D225" s="13"/>
      <c r="E225" s="19"/>
      <c r="F225" s="19"/>
      <c r="G225" s="19"/>
      <c r="H225" s="25"/>
      <c r="I225" s="25"/>
      <c r="J225" s="26"/>
    </row>
    <row r="226" spans="2:10" ht="25.5">
      <c r="B226" s="160" t="s">
        <v>188</v>
      </c>
      <c r="C226" s="13"/>
      <c r="D226" s="43"/>
      <c r="E226" s="29"/>
      <c r="F226" s="29"/>
      <c r="G226" s="29"/>
      <c r="H226" s="29"/>
      <c r="I226" s="29"/>
      <c r="J226" s="23"/>
    </row>
    <row r="227" spans="2:10" ht="12.75">
      <c r="B227" s="14" t="s">
        <v>189</v>
      </c>
      <c r="C227" s="68"/>
      <c r="D227" s="31"/>
      <c r="E227" s="29"/>
      <c r="F227" s="29"/>
      <c r="G227" s="29"/>
      <c r="H227" s="29"/>
      <c r="I227" s="29"/>
      <c r="J227" s="23"/>
    </row>
    <row r="228" spans="2:10" ht="12.75">
      <c r="B228" s="14" t="s">
        <v>190</v>
      </c>
      <c r="C228" s="13" t="s">
        <v>191</v>
      </c>
      <c r="D228" s="89" t="s">
        <v>192</v>
      </c>
      <c r="E228" s="29">
        <v>98115010</v>
      </c>
      <c r="F228" s="19">
        <v>95257680</v>
      </c>
      <c r="G228" s="29">
        <v>0</v>
      </c>
      <c r="H228" s="64">
        <f>2857330*2+4096841*2</f>
        <v>13908342</v>
      </c>
      <c r="I228" s="29">
        <v>0</v>
      </c>
      <c r="J228" s="26">
        <f>F228+G228-H228+I228</f>
        <v>81349338</v>
      </c>
    </row>
    <row r="229" spans="1:10" ht="18.75">
      <c r="A229" s="193">
        <v>185</v>
      </c>
      <c r="B229" s="27" t="s">
        <v>193</v>
      </c>
      <c r="C229" s="30" t="s">
        <v>331</v>
      </c>
      <c r="D229" s="68" t="s">
        <v>183</v>
      </c>
      <c r="E229" s="64">
        <f>8459735.27+42610398.98+2469063.49+88345825.68+70141214.77</f>
        <v>212026238.19</v>
      </c>
      <c r="F229" s="19">
        <v>141885023.42000002</v>
      </c>
      <c r="G229" s="25">
        <v>70141214.77</v>
      </c>
      <c r="H229" s="25">
        <v>8007025.22</v>
      </c>
      <c r="I229" s="29">
        <v>0</v>
      </c>
      <c r="J229" s="26">
        <f>F229+G229-H229+I229</f>
        <v>204019212.97</v>
      </c>
    </row>
    <row r="230" spans="2:10" ht="12.75">
      <c r="B230" s="14" t="s">
        <v>194</v>
      </c>
      <c r="C230" s="13" t="s">
        <v>195</v>
      </c>
      <c r="D230" s="68" t="s">
        <v>183</v>
      </c>
      <c r="E230" s="19">
        <v>53734863</v>
      </c>
      <c r="F230" s="29">
        <v>53734863</v>
      </c>
      <c r="G230" s="19">
        <v>0</v>
      </c>
      <c r="H230" s="25">
        <v>0</v>
      </c>
      <c r="I230" s="19"/>
      <c r="J230" s="26">
        <f>F230+G230-H230+I230</f>
        <v>53734863</v>
      </c>
    </row>
    <row r="231" spans="2:10" ht="25.5">
      <c r="B231" s="150" t="s">
        <v>289</v>
      </c>
      <c r="C231" s="43"/>
      <c r="D231" s="13"/>
      <c r="E231" s="36">
        <f aca="true" t="shared" si="18" ref="E231:J231">SUM(E228:E230)</f>
        <v>363876111.19</v>
      </c>
      <c r="F231" s="36">
        <f t="shared" si="18"/>
        <v>290877566.42</v>
      </c>
      <c r="G231" s="36">
        <f t="shared" si="18"/>
        <v>70141214.77</v>
      </c>
      <c r="H231" s="36">
        <f t="shared" si="18"/>
        <v>21915367.22</v>
      </c>
      <c r="I231" s="36">
        <f t="shared" si="18"/>
        <v>0</v>
      </c>
      <c r="J231" s="123">
        <f t="shared" si="18"/>
        <v>339103413.97</v>
      </c>
    </row>
    <row r="232" spans="2:10" ht="12.75">
      <c r="B232" s="14"/>
      <c r="C232" s="13"/>
      <c r="D232" s="49"/>
      <c r="E232" s="19"/>
      <c r="F232" s="19"/>
      <c r="G232" s="19"/>
      <c r="H232" s="25"/>
      <c r="I232" s="19"/>
      <c r="J232" s="26"/>
    </row>
    <row r="233" spans="2:10" ht="12.75">
      <c r="B233" s="91" t="s">
        <v>197</v>
      </c>
      <c r="C233" s="13"/>
      <c r="D233" s="89"/>
      <c r="E233" s="29"/>
      <c r="F233" s="19"/>
      <c r="G233" s="19"/>
      <c r="H233" s="19"/>
      <c r="I233" s="19"/>
      <c r="J233" s="23"/>
    </row>
    <row r="234" spans="2:10" ht="12.75">
      <c r="B234" s="14" t="s">
        <v>185</v>
      </c>
      <c r="C234" s="13" t="s">
        <v>195</v>
      </c>
      <c r="D234" s="89" t="s">
        <v>100</v>
      </c>
      <c r="E234" s="29">
        <v>8000000</v>
      </c>
      <c r="F234" s="130">
        <v>8000000</v>
      </c>
      <c r="G234" s="19">
        <v>0</v>
      </c>
      <c r="H234" s="19">
        <v>0</v>
      </c>
      <c r="I234" s="19">
        <v>0</v>
      </c>
      <c r="J234" s="26">
        <f>F234+G234-H234+I234</f>
        <v>8000000</v>
      </c>
    </row>
    <row r="235" spans="2:10" ht="12.75">
      <c r="B235" s="42" t="s">
        <v>198</v>
      </c>
      <c r="C235" s="13"/>
      <c r="D235" s="89"/>
      <c r="E235" s="29"/>
      <c r="F235" s="31"/>
      <c r="G235" s="19"/>
      <c r="H235" s="19"/>
      <c r="I235" s="19"/>
      <c r="J235" s="23"/>
    </row>
    <row r="236" spans="2:10" ht="12.75">
      <c r="B236" s="42" t="s">
        <v>199</v>
      </c>
      <c r="C236" s="30" t="s">
        <v>327</v>
      </c>
      <c r="D236" s="68" t="s">
        <v>183</v>
      </c>
      <c r="E236" s="92">
        <f>107223039.41+231539324.35+182363198.79</f>
        <v>521125562.54999995</v>
      </c>
      <c r="F236" s="131">
        <v>341229924.25</v>
      </c>
      <c r="G236" s="92">
        <f>182363198.79+45911572.15</f>
        <v>228274770.94</v>
      </c>
      <c r="H236" s="93">
        <v>0</v>
      </c>
      <c r="I236" s="94">
        <v>9208920.05</v>
      </c>
      <c r="J236" s="95">
        <f>F236+G236-H236+I236</f>
        <v>578713615.24</v>
      </c>
    </row>
    <row r="237" spans="2:10" ht="12.75">
      <c r="B237" s="150" t="s">
        <v>290</v>
      </c>
      <c r="C237" s="43"/>
      <c r="D237" s="13"/>
      <c r="E237" s="146">
        <f aca="true" t="shared" si="19" ref="E237:J237">SUM(E234:E236)</f>
        <v>529125562.54999995</v>
      </c>
      <c r="F237" s="36">
        <f t="shared" si="19"/>
        <v>349229924.25</v>
      </c>
      <c r="G237" s="36">
        <f t="shared" si="19"/>
        <v>228274770.94</v>
      </c>
      <c r="H237" s="36">
        <f t="shared" si="19"/>
        <v>0</v>
      </c>
      <c r="I237" s="36">
        <f t="shared" si="19"/>
        <v>9208920.05</v>
      </c>
      <c r="J237" s="149">
        <f t="shared" si="19"/>
        <v>586713615.24</v>
      </c>
    </row>
    <row r="238" spans="2:10" ht="12.75">
      <c r="B238" s="150"/>
      <c r="C238" s="13"/>
      <c r="D238" s="13"/>
      <c r="E238" s="29"/>
      <c r="F238" s="19"/>
      <c r="G238" s="19"/>
      <c r="H238" s="19"/>
      <c r="I238" s="19"/>
      <c r="J238" s="26"/>
    </row>
    <row r="239" spans="2:10" ht="12.75">
      <c r="B239" s="52" t="s">
        <v>332</v>
      </c>
      <c r="C239" s="13"/>
      <c r="D239" s="13"/>
      <c r="E239" s="29"/>
      <c r="F239" s="19"/>
      <c r="G239" s="19"/>
      <c r="H239" s="22"/>
      <c r="I239" s="22"/>
      <c r="J239" s="23"/>
    </row>
    <row r="240" spans="2:10" ht="12.75">
      <c r="B240" s="42" t="s">
        <v>98</v>
      </c>
      <c r="C240" s="13" t="s">
        <v>99</v>
      </c>
      <c r="D240" s="24" t="s">
        <v>100</v>
      </c>
      <c r="E240" s="19">
        <v>145446339.92</v>
      </c>
      <c r="F240" s="19">
        <v>163666517.46</v>
      </c>
      <c r="G240" s="19">
        <v>0</v>
      </c>
      <c r="H240" s="22">
        <v>0</v>
      </c>
      <c r="I240" s="39">
        <v>4270686.68</v>
      </c>
      <c r="J240" s="26">
        <f>F240+G240-H240+I240</f>
        <v>167937204.14000002</v>
      </c>
    </row>
    <row r="241" spans="2:10" ht="12.75">
      <c r="B241" s="150" t="s">
        <v>333</v>
      </c>
      <c r="C241" s="43"/>
      <c r="D241" s="13"/>
      <c r="E241" s="36">
        <f aca="true" t="shared" si="20" ref="E241:J241">E240</f>
        <v>145446339.92</v>
      </c>
      <c r="F241" s="36">
        <f t="shared" si="20"/>
        <v>163666517.46</v>
      </c>
      <c r="G241" s="36">
        <f t="shared" si="20"/>
        <v>0</v>
      </c>
      <c r="H241" s="36">
        <f t="shared" si="20"/>
        <v>0</v>
      </c>
      <c r="I241" s="36">
        <f t="shared" si="20"/>
        <v>4270686.68</v>
      </c>
      <c r="J241" s="149">
        <f t="shared" si="20"/>
        <v>167937204.14000002</v>
      </c>
    </row>
    <row r="242" spans="2:10" ht="18.75" customHeight="1">
      <c r="B242" s="59" t="s">
        <v>291</v>
      </c>
      <c r="C242" s="35"/>
      <c r="D242" s="35"/>
      <c r="E242" s="146">
        <f aca="true" t="shared" si="21" ref="E242:J242">SUM(E192+E205+E208+E214+E224+E231+E237+E241)</f>
        <v>2177594018.31</v>
      </c>
      <c r="F242" s="146">
        <f t="shared" si="21"/>
        <v>1749252939.3</v>
      </c>
      <c r="G242" s="146">
        <f t="shared" si="21"/>
        <v>298415985.71</v>
      </c>
      <c r="H242" s="146">
        <f t="shared" si="21"/>
        <v>128186071.45</v>
      </c>
      <c r="I242" s="146">
        <f t="shared" si="21"/>
        <v>15976592.940000001</v>
      </c>
      <c r="J242" s="123">
        <f t="shared" si="21"/>
        <v>1935459446.5000002</v>
      </c>
    </row>
    <row r="243" spans="2:10" ht="12.75">
      <c r="B243" s="16"/>
      <c r="C243" s="13"/>
      <c r="D243" s="13"/>
      <c r="E243" s="19"/>
      <c r="F243" s="19"/>
      <c r="G243" s="19"/>
      <c r="H243" s="19"/>
      <c r="I243" s="19"/>
      <c r="J243" s="23"/>
    </row>
    <row r="244" spans="2:10" ht="12.75">
      <c r="B244" s="16" t="s">
        <v>200</v>
      </c>
      <c r="C244" s="13"/>
      <c r="D244" s="13"/>
      <c r="E244" s="37" t="s">
        <v>15</v>
      </c>
      <c r="F244" s="37" t="s">
        <v>15</v>
      </c>
      <c r="G244" s="37" t="s">
        <v>15</v>
      </c>
      <c r="H244" s="37" t="s">
        <v>15</v>
      </c>
      <c r="I244" s="37" t="s">
        <v>15</v>
      </c>
      <c r="J244" s="18" t="s">
        <v>15</v>
      </c>
    </row>
    <row r="245" spans="2:10" ht="12.75">
      <c r="B245" s="16" t="s">
        <v>201</v>
      </c>
      <c r="C245" s="13"/>
      <c r="D245" s="13"/>
      <c r="E245" s="19"/>
      <c r="F245" s="19"/>
      <c r="G245" s="19"/>
      <c r="H245" s="19"/>
      <c r="I245" s="19"/>
      <c r="J245" s="23"/>
    </row>
    <row r="246" spans="2:10" ht="12.75">
      <c r="B246" s="16" t="s">
        <v>17</v>
      </c>
      <c r="C246" s="13"/>
      <c r="D246" s="13"/>
      <c r="E246" s="19"/>
      <c r="F246" s="19"/>
      <c r="G246" s="19"/>
      <c r="H246" s="19"/>
      <c r="I246" s="19"/>
      <c r="J246" s="23"/>
    </row>
    <row r="247" spans="2:10" ht="12.75">
      <c r="B247" s="16"/>
      <c r="C247" s="13"/>
      <c r="D247" s="13"/>
      <c r="E247" s="19"/>
      <c r="F247" s="19"/>
      <c r="G247" s="19"/>
      <c r="H247" s="19"/>
      <c r="I247" s="19"/>
      <c r="J247" s="23"/>
    </row>
    <row r="248" spans="2:10" ht="12.75">
      <c r="B248" s="21" t="s">
        <v>202</v>
      </c>
      <c r="C248" s="13"/>
      <c r="D248" s="13"/>
      <c r="E248" s="19"/>
      <c r="F248" s="19"/>
      <c r="G248" s="19"/>
      <c r="H248" s="19"/>
      <c r="I248" s="19"/>
      <c r="J248" s="23"/>
    </row>
    <row r="249" spans="2:10" ht="12.75">
      <c r="B249" s="14" t="s">
        <v>203</v>
      </c>
      <c r="C249" s="13"/>
      <c r="D249" s="13"/>
      <c r="E249" s="19"/>
      <c r="F249" s="19"/>
      <c r="G249" s="19"/>
      <c r="H249" s="19"/>
      <c r="I249" s="19"/>
      <c r="J249" s="23"/>
    </row>
    <row r="250" spans="2:10" ht="12.75">
      <c r="B250" s="14" t="s">
        <v>204</v>
      </c>
      <c r="C250" s="13" t="s">
        <v>205</v>
      </c>
      <c r="D250" s="24" t="s">
        <v>206</v>
      </c>
      <c r="E250" s="19">
        <v>84824928.48</v>
      </c>
      <c r="F250" s="25">
        <v>14280488.06</v>
      </c>
      <c r="G250" s="19">
        <v>0</v>
      </c>
      <c r="H250" s="19">
        <v>0</v>
      </c>
      <c r="I250" s="19">
        <v>0</v>
      </c>
      <c r="J250" s="26">
        <f>F250+G250-H250+I250</f>
        <v>14280488.06</v>
      </c>
    </row>
    <row r="251" spans="2:10" ht="12.75">
      <c r="B251" s="163" t="s">
        <v>265</v>
      </c>
      <c r="C251" s="13"/>
      <c r="D251" s="24"/>
      <c r="E251" s="146">
        <f>E250</f>
        <v>84824928.48</v>
      </c>
      <c r="F251" s="80">
        <f>F250</f>
        <v>14280488.06</v>
      </c>
      <c r="G251" s="36">
        <f>G250</f>
        <v>0</v>
      </c>
      <c r="H251" s="36">
        <f>-H250</f>
        <v>0</v>
      </c>
      <c r="I251" s="36">
        <f>I250</f>
        <v>0</v>
      </c>
      <c r="J251" s="149">
        <f>J250</f>
        <v>14280488.06</v>
      </c>
    </row>
    <row r="252" spans="2:10" ht="12.75">
      <c r="B252" s="163"/>
      <c r="C252" s="13"/>
      <c r="D252" s="24"/>
      <c r="E252" s="19"/>
      <c r="F252" s="25"/>
      <c r="G252" s="19"/>
      <c r="H252" s="19"/>
      <c r="I252" s="19"/>
      <c r="J252" s="26"/>
    </row>
    <row r="253" spans="2:10" ht="12.75">
      <c r="B253" s="21" t="s">
        <v>207</v>
      </c>
      <c r="C253" s="13"/>
      <c r="D253" s="13"/>
      <c r="E253" s="19"/>
      <c r="F253" s="19"/>
      <c r="G253" s="19"/>
      <c r="H253" s="19"/>
      <c r="I253" s="19"/>
      <c r="J253" s="23"/>
    </row>
    <row r="254" spans="2:10" ht="12.75">
      <c r="B254" s="14" t="s">
        <v>208</v>
      </c>
      <c r="C254" s="13">
        <v>1976</v>
      </c>
      <c r="D254" s="68" t="s">
        <v>209</v>
      </c>
      <c r="E254" s="19">
        <v>3648546</v>
      </c>
      <c r="F254" s="19">
        <v>1480485.82</v>
      </c>
      <c r="G254" s="19">
        <v>0</v>
      </c>
      <c r="H254" s="97">
        <v>145795.62</v>
      </c>
      <c r="I254" s="19">
        <v>0</v>
      </c>
      <c r="J254" s="26">
        <f>F254+G254-H254+I254</f>
        <v>1334690.2000000002</v>
      </c>
    </row>
    <row r="255" spans="2:10" ht="12.75">
      <c r="B255" s="14" t="s">
        <v>210</v>
      </c>
      <c r="C255" s="13" t="s">
        <v>211</v>
      </c>
      <c r="D255" s="68" t="s">
        <v>183</v>
      </c>
      <c r="E255" s="19">
        <v>17089991.1</v>
      </c>
      <c r="F255" s="19">
        <v>8633184.899999999</v>
      </c>
      <c r="G255" s="19"/>
      <c r="H255" s="97">
        <v>597695.8</v>
      </c>
      <c r="I255" s="19">
        <v>0</v>
      </c>
      <c r="J255" s="26">
        <f>F255+G255-H255+I255</f>
        <v>8035489.099999999</v>
      </c>
    </row>
    <row r="256" spans="2:10" ht="12.75">
      <c r="B256" s="163" t="s">
        <v>294</v>
      </c>
      <c r="C256" s="13"/>
      <c r="D256" s="49"/>
      <c r="E256" s="146">
        <f>SUM(E254:E255)</f>
        <v>20738537.1</v>
      </c>
      <c r="F256" s="146">
        <f>SUM(F254:F255)</f>
        <v>10113670.719999999</v>
      </c>
      <c r="G256" s="146">
        <f>SUM(G254:G255)</f>
        <v>0</v>
      </c>
      <c r="H256" s="146">
        <f>SUM(H254:H255)</f>
        <v>743491.42</v>
      </c>
      <c r="I256" s="36"/>
      <c r="J256" s="149">
        <f>SUM(J254:J255)</f>
        <v>9370179.299999999</v>
      </c>
    </row>
    <row r="257" spans="1:10" ht="18.75">
      <c r="A257" s="193">
        <v>186</v>
      </c>
      <c r="B257" s="14"/>
      <c r="C257" s="13"/>
      <c r="D257" s="49"/>
      <c r="E257" s="19"/>
      <c r="F257" s="19"/>
      <c r="G257" s="19"/>
      <c r="H257" s="19"/>
      <c r="I257" s="19"/>
      <c r="J257" s="23"/>
    </row>
    <row r="258" spans="2:10" ht="25.5">
      <c r="B258" s="161" t="s">
        <v>292</v>
      </c>
      <c r="C258" s="13" t="s">
        <v>212</v>
      </c>
      <c r="D258" s="13" t="s">
        <v>26</v>
      </c>
      <c r="E258" s="19">
        <v>2631394.9</v>
      </c>
      <c r="F258" s="19">
        <v>1688930.54</v>
      </c>
      <c r="G258" s="19"/>
      <c r="H258" s="97">
        <v>73678.02</v>
      </c>
      <c r="I258" s="19">
        <v>0</v>
      </c>
      <c r="J258" s="26">
        <f>F258+G258-H258+I258</f>
        <v>1615252.52</v>
      </c>
    </row>
    <row r="259" spans="2:10" ht="25.5">
      <c r="B259" s="163" t="s">
        <v>293</v>
      </c>
      <c r="C259" s="16"/>
      <c r="D259" s="14"/>
      <c r="E259" s="36">
        <f>E258</f>
        <v>2631394.9</v>
      </c>
      <c r="F259" s="36">
        <f>F258</f>
        <v>1688930.54</v>
      </c>
      <c r="G259" s="36">
        <f>SUM(G250:G258)</f>
        <v>0</v>
      </c>
      <c r="H259" s="36">
        <f>H258</f>
        <v>73678.02</v>
      </c>
      <c r="I259" s="36">
        <f>SUM(I250:I258)</f>
        <v>0</v>
      </c>
      <c r="J259" s="123">
        <f>J258</f>
        <v>1615252.52</v>
      </c>
    </row>
    <row r="260" spans="2:10" ht="25.5">
      <c r="B260" s="162" t="s">
        <v>295</v>
      </c>
      <c r="C260" s="164"/>
      <c r="D260" s="165"/>
      <c r="E260" s="96">
        <f aca="true" t="shared" si="22" ref="E260:J260">SUM(E251+E256+E259)</f>
        <v>108194860.48000002</v>
      </c>
      <c r="F260" s="96">
        <f t="shared" si="22"/>
        <v>26083089.32</v>
      </c>
      <c r="G260" s="96">
        <f t="shared" si="22"/>
        <v>0</v>
      </c>
      <c r="H260" s="96">
        <f t="shared" si="22"/>
        <v>817169.4400000001</v>
      </c>
      <c r="I260" s="96">
        <f t="shared" si="22"/>
        <v>0</v>
      </c>
      <c r="J260" s="123">
        <f t="shared" si="22"/>
        <v>25265919.88</v>
      </c>
    </row>
    <row r="261" spans="2:9" ht="12.75">
      <c r="B261" s="163"/>
      <c r="C261" s="61"/>
      <c r="D261" s="99"/>
      <c r="E261" s="19"/>
      <c r="F261" s="19"/>
      <c r="G261" s="19"/>
      <c r="H261" s="19"/>
      <c r="I261" s="19"/>
    </row>
    <row r="262" spans="2:10" ht="12.75">
      <c r="B262" s="16" t="s">
        <v>213</v>
      </c>
      <c r="C262" s="47"/>
      <c r="D262" s="99"/>
      <c r="E262" s="37" t="s">
        <v>15</v>
      </c>
      <c r="F262" s="37" t="s">
        <v>15</v>
      </c>
      <c r="G262" s="37" t="s">
        <v>15</v>
      </c>
      <c r="H262" s="37" t="s">
        <v>15</v>
      </c>
      <c r="I262" s="37" t="s">
        <v>15</v>
      </c>
      <c r="J262" s="18" t="s">
        <v>15</v>
      </c>
    </row>
    <row r="263" spans="2:10" ht="12.75">
      <c r="B263" s="16" t="s">
        <v>196</v>
      </c>
      <c r="C263" s="49"/>
      <c r="D263" s="48"/>
      <c r="E263" s="19"/>
      <c r="F263" s="19"/>
      <c r="G263" s="19"/>
      <c r="H263" s="19"/>
      <c r="I263" s="19"/>
      <c r="J263" s="23"/>
    </row>
    <row r="264" spans="2:10" ht="12.75">
      <c r="B264" s="16" t="s">
        <v>16</v>
      </c>
      <c r="C264" s="49"/>
      <c r="D264" s="48"/>
      <c r="E264" s="19"/>
      <c r="F264" s="19"/>
      <c r="G264" s="19"/>
      <c r="H264" s="19"/>
      <c r="I264" s="19"/>
      <c r="J264" s="23"/>
    </row>
    <row r="265" spans="2:10" ht="12.75">
      <c r="B265" s="15" t="s">
        <v>214</v>
      </c>
      <c r="C265" s="49"/>
      <c r="D265" s="48"/>
      <c r="E265" s="19">
        <f aca="true" t="shared" si="23" ref="E265:J265">E144</f>
        <v>3815477720.22</v>
      </c>
      <c r="F265" s="19">
        <f t="shared" si="23"/>
        <v>3389937607.14</v>
      </c>
      <c r="G265" s="19">
        <f t="shared" si="23"/>
        <v>401946231.19</v>
      </c>
      <c r="H265" s="19">
        <f t="shared" si="23"/>
        <v>445209961.40999997</v>
      </c>
      <c r="I265" s="19">
        <f t="shared" si="23"/>
        <v>52070355.66820999</v>
      </c>
      <c r="J265" s="167">
        <f t="shared" si="23"/>
        <v>3398744232.588211</v>
      </c>
    </row>
    <row r="266" spans="2:10" ht="12.75">
      <c r="B266" s="27" t="s">
        <v>215</v>
      </c>
      <c r="C266" s="49"/>
      <c r="D266" s="48"/>
      <c r="E266" s="19">
        <f aca="true" t="shared" si="24" ref="E266:J266">E158</f>
        <v>16545273.53</v>
      </c>
      <c r="F266" s="19">
        <f t="shared" si="24"/>
        <v>4300988.53</v>
      </c>
      <c r="G266" s="19">
        <f t="shared" si="24"/>
        <v>47074.2</v>
      </c>
      <c r="H266" s="19">
        <f t="shared" si="24"/>
        <v>102526.06</v>
      </c>
      <c r="I266" s="19">
        <f t="shared" si="24"/>
        <v>18186.75</v>
      </c>
      <c r="J266" s="167">
        <f t="shared" si="24"/>
        <v>4263723.42</v>
      </c>
    </row>
    <row r="267" spans="2:10" ht="12.75">
      <c r="B267" s="15" t="s">
        <v>216</v>
      </c>
      <c r="C267" s="49"/>
      <c r="D267" s="48"/>
      <c r="E267" s="19">
        <f aca="true" t="shared" si="25" ref="E267:J267">E242</f>
        <v>2177594018.31</v>
      </c>
      <c r="F267" s="19">
        <f t="shared" si="25"/>
        <v>1749252939.3</v>
      </c>
      <c r="G267" s="19">
        <f t="shared" si="25"/>
        <v>298415985.71</v>
      </c>
      <c r="H267" s="19">
        <f t="shared" si="25"/>
        <v>128186071.45</v>
      </c>
      <c r="I267" s="19">
        <f t="shared" si="25"/>
        <v>15976592.940000001</v>
      </c>
      <c r="J267" s="166">
        <f t="shared" si="25"/>
        <v>1935459446.5000002</v>
      </c>
    </row>
    <row r="268" spans="2:10" ht="12.75">
      <c r="B268" s="16" t="s">
        <v>217</v>
      </c>
      <c r="C268" s="49"/>
      <c r="D268" s="48"/>
      <c r="E268" s="80">
        <f aca="true" t="shared" si="26" ref="E268:J268">SUM(E265:E267)</f>
        <v>6009617012.059999</v>
      </c>
      <c r="F268" s="80">
        <f>SUM(F265:F267)</f>
        <v>5143491534.97</v>
      </c>
      <c r="G268" s="80">
        <f t="shared" si="26"/>
        <v>700409291.0999999</v>
      </c>
      <c r="H268" s="80">
        <f t="shared" si="26"/>
        <v>573498558.92</v>
      </c>
      <c r="I268" s="80">
        <f t="shared" si="26"/>
        <v>68065135.35821</v>
      </c>
      <c r="J268" s="100">
        <f t="shared" si="26"/>
        <v>5338467402.508211</v>
      </c>
    </row>
    <row r="269" spans="2:10" ht="12.75">
      <c r="B269" s="16"/>
      <c r="C269" s="49"/>
      <c r="D269" s="48"/>
      <c r="E269" s="19"/>
      <c r="F269" s="19"/>
      <c r="G269" s="19"/>
      <c r="H269" s="19"/>
      <c r="I269" s="19"/>
      <c r="J269" s="23"/>
    </row>
    <row r="270" spans="2:10" ht="12.75">
      <c r="B270" s="16" t="s">
        <v>218</v>
      </c>
      <c r="C270" s="49"/>
      <c r="D270" s="48"/>
      <c r="E270" s="19"/>
      <c r="F270" s="19"/>
      <c r="G270" s="19"/>
      <c r="H270" s="19"/>
      <c r="I270" s="19"/>
      <c r="J270" s="23"/>
    </row>
    <row r="271" spans="2:10" ht="12.75">
      <c r="B271" s="16" t="s">
        <v>219</v>
      </c>
      <c r="C271" s="49"/>
      <c r="D271" s="48"/>
      <c r="E271" s="19"/>
      <c r="F271" s="19"/>
      <c r="G271" s="19"/>
      <c r="H271" s="19"/>
      <c r="I271" s="19"/>
      <c r="J271" s="23"/>
    </row>
    <row r="272" spans="2:10" ht="12.75">
      <c r="B272" s="15" t="s">
        <v>220</v>
      </c>
      <c r="C272" s="49"/>
      <c r="D272" s="48"/>
      <c r="E272" s="19">
        <f aca="true" t="shared" si="27" ref="E272:J272">E260</f>
        <v>108194860.48000002</v>
      </c>
      <c r="F272" s="19">
        <f t="shared" si="27"/>
        <v>26083089.32</v>
      </c>
      <c r="G272" s="19">
        <f t="shared" si="27"/>
        <v>0</v>
      </c>
      <c r="H272" s="19">
        <f t="shared" si="27"/>
        <v>817169.4400000001</v>
      </c>
      <c r="I272" s="19">
        <f t="shared" si="27"/>
        <v>0</v>
      </c>
      <c r="J272" s="166">
        <f t="shared" si="27"/>
        <v>25265919.88</v>
      </c>
    </row>
    <row r="273" spans="2:10" ht="12.75">
      <c r="B273" s="59" t="s">
        <v>221</v>
      </c>
      <c r="C273" s="101"/>
      <c r="D273" s="102"/>
      <c r="E273" s="80">
        <f>E272</f>
        <v>108194860.48000002</v>
      </c>
      <c r="F273" s="80">
        <f>F272</f>
        <v>26083089.32</v>
      </c>
      <c r="G273" s="80">
        <f>G272</f>
        <v>0</v>
      </c>
      <c r="H273" s="80">
        <f>H272</f>
        <v>817169.4400000001</v>
      </c>
      <c r="I273" s="80">
        <f>I259</f>
        <v>0</v>
      </c>
      <c r="J273" s="103">
        <f>J272</f>
        <v>25265919.88</v>
      </c>
    </row>
    <row r="274" spans="1:10" ht="18.75" customHeight="1">
      <c r="A274" s="193">
        <v>187</v>
      </c>
      <c r="B274" s="104" t="s">
        <v>222</v>
      </c>
      <c r="C274" s="105"/>
      <c r="D274" s="106"/>
      <c r="E274" s="107">
        <f>E268+E273</f>
        <v>6117811872.539999</v>
      </c>
      <c r="F274" s="107">
        <f>F268+F273</f>
        <v>5169574624.29</v>
      </c>
      <c r="G274" s="107">
        <f>G268+G273</f>
        <v>700409291.0999999</v>
      </c>
      <c r="H274" s="107">
        <f>H268+H273</f>
        <v>574315728.36</v>
      </c>
      <c r="I274" s="108">
        <f>I268+I273</f>
        <v>68065135.35821</v>
      </c>
      <c r="J274" s="109">
        <f>SUM(F274+G274-H274+I274)</f>
        <v>5363733322.388209</v>
      </c>
    </row>
    <row r="275" spans="2:10" ht="24.75" customHeight="1">
      <c r="B275" s="98" t="s">
        <v>236</v>
      </c>
      <c r="C275" s="110"/>
      <c r="D275" s="111"/>
      <c r="E275" s="112"/>
      <c r="F275" s="112"/>
      <c r="G275" s="112"/>
      <c r="H275" s="112"/>
      <c r="I275" s="112"/>
      <c r="J275" s="113"/>
    </row>
    <row r="276" spans="2:9" ht="24.75" customHeight="1">
      <c r="B276" s="114" t="s">
        <v>223</v>
      </c>
      <c r="C276" s="115"/>
      <c r="D276" s="114"/>
      <c r="E276" s="116"/>
      <c r="F276" s="116"/>
      <c r="G276" s="117"/>
      <c r="H276" s="117"/>
      <c r="I276" s="117"/>
    </row>
    <row r="277" spans="2:9" ht="13.5">
      <c r="B277" s="114"/>
      <c r="C277" s="115"/>
      <c r="D277" s="114"/>
      <c r="E277" s="116"/>
      <c r="F277" s="116"/>
      <c r="G277" s="117"/>
      <c r="H277" s="117"/>
      <c r="I277" s="117"/>
    </row>
    <row r="278" spans="2:9" ht="13.5">
      <c r="B278" s="114"/>
      <c r="C278" s="115"/>
      <c r="D278" s="114"/>
      <c r="E278" s="116"/>
      <c r="F278" s="116"/>
      <c r="G278" s="117"/>
      <c r="H278" s="117"/>
      <c r="I278" s="117"/>
    </row>
    <row r="279" spans="5:9" ht="12.75">
      <c r="E279" s="117"/>
      <c r="F279" s="117"/>
      <c r="G279" s="117"/>
      <c r="H279" s="117"/>
      <c r="I279" s="117"/>
    </row>
    <row r="280" spans="2:10" ht="16.5" customHeight="1">
      <c r="B280" s="192" t="s">
        <v>338</v>
      </c>
      <c r="J280" s="190" t="s">
        <v>224</v>
      </c>
    </row>
    <row r="281" ht="15" customHeight="1">
      <c r="J281" s="118" t="s">
        <v>225</v>
      </c>
    </row>
    <row r="282" spans="3:10" s="90" customFormat="1" ht="13.5">
      <c r="C282" s="122"/>
      <c r="G282" s="120"/>
      <c r="J282" s="20"/>
    </row>
    <row r="283" spans="3:10" s="90" customFormat="1" ht="13.5">
      <c r="C283" s="121"/>
      <c r="G283" s="120"/>
      <c r="J283" s="20"/>
    </row>
    <row r="284" spans="3:10" s="90" customFormat="1" ht="12.75">
      <c r="C284" s="119"/>
      <c r="G284" s="120"/>
      <c r="H284" s="120"/>
      <c r="J284" s="20"/>
    </row>
    <row r="285" spans="5:9" ht="12.75">
      <c r="E285" s="117"/>
      <c r="F285" s="117"/>
      <c r="G285" s="117"/>
      <c r="H285" s="117"/>
      <c r="I285" s="117"/>
    </row>
    <row r="286" spans="5:9" ht="12.75">
      <c r="E286" s="117"/>
      <c r="F286" s="117"/>
      <c r="G286" s="117"/>
      <c r="H286" s="117"/>
      <c r="I286" s="117"/>
    </row>
  </sheetData>
  <mergeCells count="7">
    <mergeCell ref="B2:J2"/>
    <mergeCell ref="F4:F7"/>
    <mergeCell ref="G4:G7"/>
    <mergeCell ref="B4:B7"/>
    <mergeCell ref="C4:C7"/>
    <mergeCell ref="D4:D7"/>
    <mergeCell ref="E4:E7"/>
  </mergeCells>
  <printOptions horizontalCentered="1"/>
  <pageMargins left="0.2362204724409449" right="0.2362204724409449" top="0.3937007874015748" bottom="0.2362204724409449" header="0.1968503937007874" footer="0.1968503937007874"/>
  <pageSetup horizontalDpi="600" verticalDpi="600" orientation="landscape" paperSize="9" scale="97" r:id="rId2"/>
  <rowBreaks count="5" manualBreakCount="5">
    <brk id="80" max="255" man="1"/>
    <brk id="114" max="255" man="1"/>
    <brk id="144" max="255" man="1"/>
    <brk id="242" max="255" man="1"/>
    <brk id="2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B12">
      <selection activeCell="D4" sqref="D4:H4"/>
    </sheetView>
  </sheetViews>
  <sheetFormatPr defaultColWidth="9.140625" defaultRowHeight="12.75"/>
  <cols>
    <col min="1" max="1" width="28.421875" style="0" customWidth="1"/>
    <col min="2" max="2" width="6.140625" style="0" customWidth="1"/>
    <col min="3" max="3" width="17.140625" style="0" customWidth="1"/>
    <col min="4" max="4" width="8.140625" style="0" customWidth="1"/>
    <col min="5" max="5" width="18.140625" style="0" customWidth="1"/>
    <col min="6" max="6" width="8.421875" style="0" customWidth="1"/>
    <col min="7" max="7" width="18.421875" style="0" customWidth="1"/>
    <col min="8" max="8" width="16.00390625" style="0" customWidth="1"/>
  </cols>
  <sheetData>
    <row r="1" spans="1:7" ht="24.75" customHeight="1">
      <c r="A1" s="203" t="s">
        <v>253</v>
      </c>
      <c r="B1" s="203"/>
      <c r="C1" s="203"/>
      <c r="D1" s="203"/>
      <c r="E1" s="203"/>
      <c r="F1" s="203"/>
      <c r="G1" s="203"/>
    </row>
    <row r="2" spans="1:7" ht="24.75" customHeight="1">
      <c r="A2" s="202" t="s">
        <v>252</v>
      </c>
      <c r="B2" s="202"/>
      <c r="C2" s="202"/>
      <c r="D2" s="202"/>
      <c r="E2" s="202"/>
      <c r="F2" s="202"/>
      <c r="G2" s="202"/>
    </row>
    <row r="3" spans="1:7" ht="24.75" customHeight="1">
      <c r="A3" s="134"/>
      <c r="B3" s="134"/>
      <c r="C3" s="134"/>
      <c r="D3" s="134"/>
      <c r="E3" s="134"/>
      <c r="F3" s="134"/>
      <c r="G3" s="134"/>
    </row>
    <row r="4" spans="1:8" ht="33" customHeight="1">
      <c r="A4" s="135" t="s">
        <v>237</v>
      </c>
      <c r="B4" s="135" t="s">
        <v>247</v>
      </c>
      <c r="C4" s="141" t="s">
        <v>254</v>
      </c>
      <c r="D4" s="204" t="s">
        <v>249</v>
      </c>
      <c r="E4" s="204"/>
      <c r="F4" s="204" t="s">
        <v>250</v>
      </c>
      <c r="G4" s="204"/>
      <c r="H4" s="143" t="s">
        <v>251</v>
      </c>
    </row>
    <row r="5" spans="1:8" ht="24.75" customHeight="1">
      <c r="A5" s="136"/>
      <c r="B5" s="136"/>
      <c r="C5" s="140" t="s">
        <v>245</v>
      </c>
      <c r="D5" s="140" t="s">
        <v>248</v>
      </c>
      <c r="E5" s="140" t="s">
        <v>246</v>
      </c>
      <c r="F5" s="140" t="s">
        <v>248</v>
      </c>
      <c r="G5" s="140" t="s">
        <v>246</v>
      </c>
      <c r="H5" s="144"/>
    </row>
    <row r="6" spans="1:8" ht="24.75" customHeight="1">
      <c r="A6" s="137" t="s">
        <v>238</v>
      </c>
      <c r="B6" s="137">
        <v>37</v>
      </c>
      <c r="C6" s="138">
        <v>39281.5</v>
      </c>
      <c r="D6" s="138">
        <v>0.63</v>
      </c>
      <c r="E6" s="138">
        <f>C6*D6-0.01</f>
        <v>24747.335000000003</v>
      </c>
      <c r="F6" s="139">
        <v>0.6839</v>
      </c>
      <c r="G6" s="138">
        <f>C6*F6</f>
        <v>26864.61785</v>
      </c>
      <c r="H6" s="145">
        <f>G6-E6</f>
        <v>2117.282849999996</v>
      </c>
    </row>
    <row r="7" spans="1:8" ht="24.75" customHeight="1">
      <c r="A7" s="137" t="s">
        <v>239</v>
      </c>
      <c r="B7" s="137">
        <v>40</v>
      </c>
      <c r="C7" s="138">
        <v>77636.6</v>
      </c>
      <c r="D7" s="138">
        <v>0.63</v>
      </c>
      <c r="E7" s="138">
        <f aca="true" t="shared" si="0" ref="E7:E12">C7*D7</f>
        <v>48911.058000000005</v>
      </c>
      <c r="F7" s="139">
        <v>0.6839</v>
      </c>
      <c r="G7" s="138">
        <f aca="true" t="shared" si="1" ref="G7:G12">C7*F7</f>
        <v>53095.67074</v>
      </c>
      <c r="H7" s="145">
        <f aca="true" t="shared" si="2" ref="H7:H12">G7-E7</f>
        <v>4184.612739999997</v>
      </c>
    </row>
    <row r="8" spans="1:8" ht="24.75" customHeight="1">
      <c r="A8" s="137" t="s">
        <v>240</v>
      </c>
      <c r="B8" s="137">
        <v>45</v>
      </c>
      <c r="C8" s="138">
        <v>100710.59</v>
      </c>
      <c r="D8" s="138">
        <v>0.63</v>
      </c>
      <c r="E8" s="138">
        <f t="shared" si="0"/>
        <v>63447.6717</v>
      </c>
      <c r="F8" s="139">
        <v>0.6839</v>
      </c>
      <c r="G8" s="138">
        <f t="shared" si="1"/>
        <v>68875.972501</v>
      </c>
      <c r="H8" s="145">
        <f t="shared" si="2"/>
        <v>5428.300800999998</v>
      </c>
    </row>
    <row r="9" spans="1:8" ht="24.75" customHeight="1">
      <c r="A9" s="137" t="s">
        <v>241</v>
      </c>
      <c r="B9" s="137">
        <v>47</v>
      </c>
      <c r="C9" s="138">
        <v>58701.14</v>
      </c>
      <c r="D9" s="138">
        <v>0.63</v>
      </c>
      <c r="E9" s="138">
        <f t="shared" si="0"/>
        <v>36981.7182</v>
      </c>
      <c r="F9" s="139">
        <v>0.6839</v>
      </c>
      <c r="G9" s="138">
        <f t="shared" si="1"/>
        <v>40145.709645999996</v>
      </c>
      <c r="H9" s="145">
        <f t="shared" si="2"/>
        <v>3163.9914459999927</v>
      </c>
    </row>
    <row r="10" spans="1:11" ht="24.75" customHeight="1">
      <c r="A10" s="137" t="s">
        <v>242</v>
      </c>
      <c r="B10" s="137">
        <v>49</v>
      </c>
      <c r="C10" s="138">
        <v>5068.65</v>
      </c>
      <c r="D10" s="138">
        <v>0.63</v>
      </c>
      <c r="E10" s="138">
        <f t="shared" si="0"/>
        <v>3193.2495</v>
      </c>
      <c r="F10" s="139">
        <v>0.6839</v>
      </c>
      <c r="G10" s="138">
        <f t="shared" si="1"/>
        <v>3466.4497349999997</v>
      </c>
      <c r="H10" s="145">
        <f t="shared" si="2"/>
        <v>273.2002349999998</v>
      </c>
      <c r="I10" s="126"/>
      <c r="J10" s="126"/>
      <c r="K10" s="126"/>
    </row>
    <row r="11" spans="1:11" ht="24.75" customHeight="1">
      <c r="A11" s="137" t="s">
        <v>243</v>
      </c>
      <c r="B11" s="137">
        <v>55</v>
      </c>
      <c r="C11" s="138">
        <v>18527.89</v>
      </c>
      <c r="D11" s="138">
        <v>0.63</v>
      </c>
      <c r="E11" s="138">
        <f t="shared" si="0"/>
        <v>11672.5707</v>
      </c>
      <c r="F11" s="139">
        <v>0.6839</v>
      </c>
      <c r="G11" s="138">
        <f t="shared" si="1"/>
        <v>12671.223971</v>
      </c>
      <c r="H11" s="145">
        <f t="shared" si="2"/>
        <v>998.6532709999992</v>
      </c>
      <c r="I11" s="126"/>
      <c r="J11" s="126"/>
      <c r="K11" s="126"/>
    </row>
    <row r="12" spans="1:11" ht="24.75" customHeight="1">
      <c r="A12" s="137" t="s">
        <v>244</v>
      </c>
      <c r="B12" s="137">
        <v>57</v>
      </c>
      <c r="C12" s="138">
        <v>37490.2</v>
      </c>
      <c r="D12" s="138">
        <v>0.63</v>
      </c>
      <c r="E12" s="138">
        <f t="shared" si="0"/>
        <v>23618.825999999997</v>
      </c>
      <c r="F12" s="139">
        <v>0.6839</v>
      </c>
      <c r="G12" s="138">
        <f t="shared" si="1"/>
        <v>25639.547779999997</v>
      </c>
      <c r="H12" s="145">
        <f t="shared" si="2"/>
        <v>2020.7217799999999</v>
      </c>
      <c r="I12" s="126"/>
      <c r="J12" s="126"/>
      <c r="K12" s="126"/>
    </row>
    <row r="13" spans="1:11" ht="24.75" customHeight="1">
      <c r="A13" s="137" t="s">
        <v>255</v>
      </c>
      <c r="B13" s="137"/>
      <c r="C13" s="142">
        <f>SUM(C6:C12)</f>
        <v>337416.57000000007</v>
      </c>
      <c r="D13" s="138"/>
      <c r="E13" s="142">
        <f>SUM(E6:E12)+0.01</f>
        <v>212572.43910000005</v>
      </c>
      <c r="F13" s="139"/>
      <c r="G13" s="142">
        <f>SUM(G6:G12)</f>
        <v>230759.192223</v>
      </c>
      <c r="H13" s="142">
        <f>SUM(H6:H12)-0.01</f>
        <v>18186.753122999984</v>
      </c>
      <c r="I13" s="126"/>
      <c r="J13" s="126"/>
      <c r="K13" s="126"/>
    </row>
    <row r="14" spans="5:11" ht="24.75" customHeight="1">
      <c r="E14" s="126"/>
      <c r="F14" s="126"/>
      <c r="G14" s="126"/>
      <c r="H14" s="126"/>
      <c r="I14" s="126"/>
      <c r="J14" s="126"/>
      <c r="K14" s="126"/>
    </row>
    <row r="15" spans="5:11" ht="24.75" customHeight="1">
      <c r="E15" s="126"/>
      <c r="F15" s="126"/>
      <c r="G15" s="126"/>
      <c r="H15" s="126"/>
      <c r="I15" s="126"/>
      <c r="J15" s="126"/>
      <c r="K15" s="126"/>
    </row>
    <row r="16" spans="1:11" ht="12.75">
      <c r="A16" s="126"/>
      <c r="B16" s="126"/>
      <c r="D16" s="127"/>
      <c r="E16" s="126"/>
      <c r="F16" s="126"/>
      <c r="G16" s="126"/>
      <c r="H16" s="126"/>
      <c r="I16" s="126"/>
      <c r="J16" s="126"/>
      <c r="K16" s="126"/>
    </row>
    <row r="17" spans="5:11" ht="12.75">
      <c r="E17" s="126"/>
      <c r="F17" s="126"/>
      <c r="G17" s="126"/>
      <c r="H17" s="126"/>
      <c r="I17" s="126"/>
      <c r="J17" s="126"/>
      <c r="K17" s="126"/>
    </row>
    <row r="18" spans="5:11" ht="12.75">
      <c r="E18" s="126"/>
      <c r="F18" s="126"/>
      <c r="G18" s="126"/>
      <c r="H18" s="126"/>
      <c r="I18" s="126"/>
      <c r="J18" s="126"/>
      <c r="K18" s="126"/>
    </row>
    <row r="19" spans="5:11" ht="12.75">
      <c r="E19" s="126"/>
      <c r="F19" s="126"/>
      <c r="G19" s="126"/>
      <c r="H19" s="126"/>
      <c r="I19" s="126"/>
      <c r="J19" s="126"/>
      <c r="K19" s="126"/>
    </row>
    <row r="20" spans="5:11" ht="12.75">
      <c r="E20" s="126"/>
      <c r="F20" s="126"/>
      <c r="G20" s="126"/>
      <c r="H20" s="126"/>
      <c r="I20" s="126"/>
      <c r="J20" s="126"/>
      <c r="K20" s="126"/>
    </row>
    <row r="21" spans="5:11" ht="12.75">
      <c r="E21" s="126"/>
      <c r="F21" s="126"/>
      <c r="G21" s="126"/>
      <c r="H21" s="126"/>
      <c r="I21" s="126"/>
      <c r="J21" s="126"/>
      <c r="K21" s="126"/>
    </row>
    <row r="22" spans="5:11" ht="12.75">
      <c r="E22" s="126"/>
      <c r="F22" s="126"/>
      <c r="G22" s="126"/>
      <c r="H22" s="126"/>
      <c r="I22" s="126"/>
      <c r="J22" s="126"/>
      <c r="K22" s="126"/>
    </row>
    <row r="23" spans="5:11" ht="12.75">
      <c r="E23" s="126"/>
      <c r="F23" s="126"/>
      <c r="G23" s="126"/>
      <c r="H23" s="126"/>
      <c r="I23" s="126"/>
      <c r="J23" s="126"/>
      <c r="K23" s="126"/>
    </row>
    <row r="24" spans="5:11" ht="12.75">
      <c r="E24" s="126"/>
      <c r="F24" s="126"/>
      <c r="G24" s="126"/>
      <c r="H24" s="126"/>
      <c r="I24" s="126"/>
      <c r="J24" s="126"/>
      <c r="K24" s="126"/>
    </row>
  </sheetData>
  <mergeCells count="4">
    <mergeCell ref="A2:G2"/>
    <mergeCell ref="A1:G1"/>
    <mergeCell ref="F4:G4"/>
    <mergeCell ref="D4:E4"/>
  </mergeCells>
  <printOptions horizontalCentered="1"/>
  <pageMargins left="0.32" right="0.33" top="0.6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pane xSplit="2" ySplit="3" topLeftCell="C12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129" sqref="E129"/>
    </sheetView>
  </sheetViews>
  <sheetFormatPr defaultColWidth="9.140625" defaultRowHeight="12.75"/>
  <cols>
    <col min="1" max="1" width="11.28125" style="0" customWidth="1"/>
    <col min="2" max="2" width="16.00390625" style="0" bestFit="1" customWidth="1"/>
    <col min="3" max="3" width="16.421875" style="0" customWidth="1"/>
    <col min="4" max="5" width="16.140625" style="0" customWidth="1"/>
    <col min="6" max="6" width="16.8515625" style="0" customWidth="1"/>
    <col min="8" max="8" width="15.57421875" style="0" customWidth="1"/>
  </cols>
  <sheetData>
    <row r="1" spans="1:6" ht="16.5" customHeight="1">
      <c r="A1" s="203" t="s">
        <v>326</v>
      </c>
      <c r="B1" s="203"/>
      <c r="C1" s="203"/>
      <c r="D1" s="203"/>
      <c r="E1" s="203"/>
      <c r="F1" s="203"/>
    </row>
    <row r="2" spans="1:6" ht="16.5" customHeight="1">
      <c r="A2" s="202" t="s">
        <v>325</v>
      </c>
      <c r="B2" s="202"/>
      <c r="C2" s="202"/>
      <c r="D2" s="202"/>
      <c r="E2" s="202"/>
      <c r="F2" s="202"/>
    </row>
    <row r="3" spans="2:6" ht="16.5" customHeight="1">
      <c r="B3" s="128" t="s">
        <v>233</v>
      </c>
      <c r="C3" s="129" t="s">
        <v>231</v>
      </c>
      <c r="D3" s="129" t="s">
        <v>232</v>
      </c>
      <c r="E3" s="129" t="s">
        <v>297</v>
      </c>
      <c r="F3" s="128" t="s">
        <v>234</v>
      </c>
    </row>
    <row r="4" spans="1:6" ht="16.5" customHeight="1">
      <c r="A4" t="s">
        <v>298</v>
      </c>
      <c r="B4" s="128"/>
      <c r="C4" s="129"/>
      <c r="D4" s="129"/>
      <c r="E4" s="129"/>
      <c r="F4" s="128"/>
    </row>
    <row r="5" spans="1:6" ht="16.5" customHeight="1">
      <c r="A5" s="171" t="s">
        <v>320</v>
      </c>
      <c r="B5" s="169">
        <v>1521064.42</v>
      </c>
      <c r="C5" s="169"/>
      <c r="D5" s="169">
        <v>1521064.42</v>
      </c>
      <c r="E5" s="169"/>
      <c r="F5" s="176">
        <f>SUM(B5+C5-D5)</f>
        <v>0</v>
      </c>
    </row>
    <row r="6" spans="1:6" ht="16.5" customHeight="1">
      <c r="A6" s="171" t="s">
        <v>321</v>
      </c>
      <c r="B6" s="171">
        <v>34.4154</v>
      </c>
      <c r="C6" s="171"/>
      <c r="D6" s="171"/>
      <c r="E6" s="169"/>
      <c r="F6" s="181">
        <v>35.2822</v>
      </c>
    </row>
    <row r="7" spans="1:6" ht="16.5" customHeight="1">
      <c r="A7" s="171"/>
      <c r="B7" s="171"/>
      <c r="C7" s="171"/>
      <c r="D7" s="169"/>
      <c r="E7" s="169"/>
      <c r="F7" s="169">
        <f>F5*F6</f>
        <v>0</v>
      </c>
    </row>
    <row r="8" spans="1:6" ht="16.5" customHeight="1">
      <c r="A8" s="171"/>
      <c r="B8" s="174">
        <f>B5*B6</f>
        <v>52348040.44006799</v>
      </c>
      <c r="C8" s="169"/>
      <c r="D8" s="169">
        <v>53934814.85</v>
      </c>
      <c r="E8" s="169">
        <f>SUM(F7-B8-C8+D8)</f>
        <v>1586774.4099320099</v>
      </c>
      <c r="F8" s="176">
        <f>SUM(B8+C8-D8+E8)</f>
        <v>0</v>
      </c>
    </row>
    <row r="9" spans="2:6" ht="16.5" customHeight="1">
      <c r="B9" s="128"/>
      <c r="C9" s="129"/>
      <c r="D9" s="129"/>
      <c r="E9" s="129"/>
      <c r="F9" s="128"/>
    </row>
    <row r="10" spans="1:6" ht="16.5" customHeight="1">
      <c r="A10" t="s">
        <v>296</v>
      </c>
      <c r="B10" s="126">
        <v>3768677.1</v>
      </c>
      <c r="F10" s="126">
        <f>B10</f>
        <v>3768677.1</v>
      </c>
    </row>
    <row r="11" spans="1:6" ht="16.5" customHeight="1">
      <c r="A11" t="s">
        <v>322</v>
      </c>
      <c r="B11">
        <v>98.24</v>
      </c>
      <c r="F11">
        <v>101.8551</v>
      </c>
    </row>
    <row r="12" spans="2:6" ht="16.5" customHeight="1">
      <c r="B12" s="127">
        <f>B10*B11</f>
        <v>370234838.30399996</v>
      </c>
      <c r="E12" s="127">
        <f>F12-B12</f>
        <v>13624144.584210038</v>
      </c>
      <c r="F12" s="127">
        <f>F10*F11</f>
        <v>383858982.88821</v>
      </c>
    </row>
    <row r="13" ht="16.5" customHeight="1"/>
    <row r="14" spans="1:6" ht="16.5" customHeight="1">
      <c r="A14" s="171" t="s">
        <v>323</v>
      </c>
      <c r="B14" s="177">
        <v>291385.12</v>
      </c>
      <c r="C14" s="169"/>
      <c r="D14" s="169">
        <v>291385.12</v>
      </c>
      <c r="E14" s="169"/>
      <c r="F14" s="176">
        <f>SUM(B14+C14-D14)</f>
        <v>0</v>
      </c>
    </row>
    <row r="15" spans="1:6" ht="16.5" customHeight="1">
      <c r="A15" s="171" t="s">
        <v>300</v>
      </c>
      <c r="B15" s="171">
        <v>28.455</v>
      </c>
      <c r="C15" s="171"/>
      <c r="D15" s="169"/>
      <c r="E15" s="169"/>
      <c r="F15" s="181">
        <v>29.1975</v>
      </c>
    </row>
    <row r="16" spans="1:6" ht="16.5" customHeight="1">
      <c r="A16" s="171"/>
      <c r="B16" s="171"/>
      <c r="C16" s="171"/>
      <c r="D16" s="169"/>
      <c r="E16" s="169"/>
      <c r="F16" s="169">
        <f>F14*F15</f>
        <v>0</v>
      </c>
    </row>
    <row r="17" spans="1:6" ht="16.5" customHeight="1">
      <c r="A17" s="171"/>
      <c r="B17" s="169">
        <f>B14*B15</f>
        <v>8291363.5896</v>
      </c>
      <c r="C17" s="169"/>
      <c r="D17" s="169">
        <v>8104673.15</v>
      </c>
      <c r="E17" s="169">
        <f>SUM(F16-B17-C17+D17)</f>
        <v>-186690.43959999923</v>
      </c>
      <c r="F17" s="176">
        <f>SUM(B17+C17-D17+E17)</f>
        <v>0</v>
      </c>
    </row>
    <row r="18" ht="16.5" customHeight="1"/>
    <row r="19" spans="1:6" ht="16.5" customHeight="1">
      <c r="A19" t="s">
        <v>259</v>
      </c>
      <c r="B19" s="126">
        <v>1626061.57</v>
      </c>
      <c r="D19" s="126">
        <v>731147.43</v>
      </c>
      <c r="E19" s="126"/>
      <c r="F19" s="126">
        <f>B19-D19</f>
        <v>894914.14</v>
      </c>
    </row>
    <row r="20" spans="1:6" ht="16.5" customHeight="1">
      <c r="A20" t="s">
        <v>301</v>
      </c>
      <c r="F20" s="133">
        <f>35.2822</f>
        <v>35.2822</v>
      </c>
    </row>
    <row r="21" ht="16.5" customHeight="1">
      <c r="F21" s="126">
        <f>F19*F20</f>
        <v>31574539.670308005</v>
      </c>
    </row>
    <row r="22" spans="2:6" ht="16.5" customHeight="1">
      <c r="B22" s="126">
        <v>55961559.36</v>
      </c>
      <c r="D22" s="126">
        <v>27280061.1</v>
      </c>
      <c r="E22" s="126">
        <f>F21-B22+D22</f>
        <v>2893041.410308007</v>
      </c>
      <c r="F22" s="127">
        <f>B22-D22+E22</f>
        <v>31574539.670308005</v>
      </c>
    </row>
    <row r="23" spans="4:6" ht="16.5" customHeight="1">
      <c r="D23" s="126"/>
      <c r="F23" s="126"/>
    </row>
    <row r="24" spans="1:6" ht="16.5" customHeight="1">
      <c r="A24" t="s">
        <v>258</v>
      </c>
      <c r="B24" s="126">
        <v>57000000</v>
      </c>
      <c r="D24" s="126">
        <f>25650000</f>
        <v>25650000</v>
      </c>
      <c r="E24" s="126"/>
      <c r="F24" s="126">
        <f>B24-D24</f>
        <v>31350000</v>
      </c>
    </row>
    <row r="25" spans="1:6" ht="16.5" customHeight="1">
      <c r="A25" t="s">
        <v>324</v>
      </c>
      <c r="F25" s="133">
        <v>4.8312</v>
      </c>
    </row>
    <row r="26" ht="16.5" customHeight="1">
      <c r="F26" s="126">
        <f>F24*F25</f>
        <v>151458120</v>
      </c>
    </row>
    <row r="27" spans="2:6" ht="16.5" customHeight="1">
      <c r="B27" s="126">
        <v>267900000</v>
      </c>
      <c r="D27" s="126">
        <f>119144250+3206250</f>
        <v>122350500</v>
      </c>
      <c r="E27" s="126">
        <f>F26-B27+D27</f>
        <v>5908620</v>
      </c>
      <c r="F27" s="127">
        <f>B27-D27+E27</f>
        <v>151458120</v>
      </c>
    </row>
    <row r="28" spans="2:6" ht="16.5" customHeight="1">
      <c r="B28" s="126"/>
      <c r="D28" s="126"/>
      <c r="E28" s="126"/>
      <c r="F28" s="127"/>
    </row>
    <row r="29" spans="1:6" ht="16.5" customHeight="1">
      <c r="A29" s="171" t="s">
        <v>260</v>
      </c>
      <c r="B29" s="177">
        <v>4570912.6</v>
      </c>
      <c r="C29" s="169">
        <v>4394809.31</v>
      </c>
      <c r="D29" s="169">
        <v>1186000</v>
      </c>
      <c r="E29" s="169"/>
      <c r="F29" s="176">
        <f>SUM(B29+C29-D29)</f>
        <v>7779721.91</v>
      </c>
    </row>
    <row r="30" spans="1:6" ht="16.5" customHeight="1">
      <c r="A30" s="171" t="s">
        <v>303</v>
      </c>
      <c r="B30" s="171">
        <v>28.455</v>
      </c>
      <c r="C30" s="171"/>
      <c r="D30" s="169"/>
      <c r="E30" s="169"/>
      <c r="F30" s="181">
        <v>29.1975</v>
      </c>
    </row>
    <row r="31" spans="1:6" ht="16.5" customHeight="1">
      <c r="A31" s="171"/>
      <c r="B31" s="171"/>
      <c r="C31" s="171"/>
      <c r="D31" s="169"/>
      <c r="E31" s="169"/>
      <c r="F31" s="169">
        <f>F29*F30</f>
        <v>227148430.46722502</v>
      </c>
    </row>
    <row r="32" spans="1:6" ht="16.5" customHeight="1">
      <c r="A32" s="171"/>
      <c r="B32" s="169">
        <f>B29*B30</f>
        <v>130065318.03299998</v>
      </c>
      <c r="C32" s="169">
        <v>122010893.54</v>
      </c>
      <c r="D32" s="169">
        <v>32614910.7</v>
      </c>
      <c r="E32" s="169">
        <f>SUM(F31-B32-C32+D32)</f>
        <v>7687129.59422503</v>
      </c>
      <c r="F32" s="176">
        <f>SUM(B32+C32-D32+E32)</f>
        <v>227148430.46722502</v>
      </c>
    </row>
    <row r="33" spans="2:6" ht="16.5" customHeight="1">
      <c r="B33" s="126"/>
      <c r="D33" s="126"/>
      <c r="E33" s="126"/>
      <c r="F33" s="127"/>
    </row>
    <row r="34" spans="2:6" ht="16.5" customHeight="1">
      <c r="B34" s="126"/>
      <c r="D34" s="126"/>
      <c r="E34" s="126"/>
      <c r="F34" s="127"/>
    </row>
    <row r="35" spans="2:6" ht="12.75">
      <c r="B35" s="126"/>
      <c r="D35" s="126"/>
      <c r="E35" s="126"/>
      <c r="F35" s="127"/>
    </row>
    <row r="36" spans="4:6" ht="13.5" thickBot="1">
      <c r="D36" s="126"/>
      <c r="E36" s="126"/>
      <c r="F36" s="126"/>
    </row>
    <row r="37" spans="1:6" ht="13.5" thickTop="1">
      <c r="A37" s="205" t="s">
        <v>299</v>
      </c>
      <c r="B37" s="206"/>
      <c r="C37" s="206"/>
      <c r="D37" s="206"/>
      <c r="E37" s="206"/>
      <c r="F37" s="207"/>
    </row>
    <row r="38" spans="1:6" ht="12.75">
      <c r="A38" s="168" t="s">
        <v>272</v>
      </c>
      <c r="B38" s="169">
        <v>8760572.58</v>
      </c>
      <c r="C38" s="169"/>
      <c r="D38" s="169">
        <f>584038.17*2</f>
        <v>1168076.34</v>
      </c>
      <c r="E38" s="169"/>
      <c r="F38" s="170">
        <f>SUM(B38+C38-D38)</f>
        <v>7592496.24</v>
      </c>
    </row>
    <row r="39" spans="1:6" ht="12.75">
      <c r="A39" s="168" t="s">
        <v>304</v>
      </c>
      <c r="B39" s="171">
        <v>34.4154</v>
      </c>
      <c r="C39" s="171"/>
      <c r="D39" s="171"/>
      <c r="E39" s="169"/>
      <c r="F39" s="172">
        <v>35.2822</v>
      </c>
    </row>
    <row r="40" spans="1:6" ht="12.75">
      <c r="A40" s="168"/>
      <c r="B40" s="171"/>
      <c r="C40" s="171"/>
      <c r="D40" s="169"/>
      <c r="E40" s="169"/>
      <c r="F40" s="173">
        <f>F38*F39</f>
        <v>267879970.83892804</v>
      </c>
    </row>
    <row r="41" spans="1:6" ht="12.75">
      <c r="A41" s="168"/>
      <c r="B41" s="174">
        <f>B38*B39</f>
        <v>301498609.569732</v>
      </c>
      <c r="C41" s="169"/>
      <c r="D41" s="169">
        <f>20643705.18+21317042.78</f>
        <v>41960747.96</v>
      </c>
      <c r="E41" s="169">
        <f>SUM(F40-B41-C41+D41)</f>
        <v>8342109.229196034</v>
      </c>
      <c r="F41" s="170">
        <f>SUM(B41+C41-D41+E41)</f>
        <v>267879970.83892804</v>
      </c>
    </row>
    <row r="42" spans="1:6" ht="12.75">
      <c r="A42" s="168"/>
      <c r="B42" s="171"/>
      <c r="C42" s="171"/>
      <c r="D42" s="171"/>
      <c r="E42" s="171"/>
      <c r="F42" s="172"/>
    </row>
    <row r="43" spans="1:6" ht="12.75">
      <c r="A43" s="175"/>
      <c r="B43" s="171"/>
      <c r="C43" s="171"/>
      <c r="D43" s="171"/>
      <c r="E43" s="171"/>
      <c r="F43" s="173"/>
    </row>
    <row r="44" spans="1:6" ht="12.75">
      <c r="A44" s="175"/>
      <c r="B44" s="171"/>
      <c r="C44" s="171"/>
      <c r="D44" s="171"/>
      <c r="E44" s="171"/>
      <c r="F44" s="173"/>
    </row>
    <row r="45" spans="1:6" ht="12.75">
      <c r="A45" s="168" t="s">
        <v>268</v>
      </c>
      <c r="B45" s="169">
        <v>400000</v>
      </c>
      <c r="C45" s="171"/>
      <c r="D45" s="169">
        <v>200000</v>
      </c>
      <c r="E45" s="169"/>
      <c r="F45" s="170">
        <f>SUM(B45+C45-D45)</f>
        <v>200000</v>
      </c>
    </row>
    <row r="46" spans="1:6" ht="12.75">
      <c r="A46" s="168" t="s">
        <v>300</v>
      </c>
      <c r="B46" s="171">
        <v>98.24</v>
      </c>
      <c r="C46" s="171"/>
      <c r="D46" s="169"/>
      <c r="E46" s="169"/>
      <c r="F46" s="172">
        <v>101.8551</v>
      </c>
    </row>
    <row r="47" spans="1:6" ht="12.75">
      <c r="A47" s="168"/>
      <c r="B47" s="171"/>
      <c r="C47" s="171"/>
      <c r="D47" s="169"/>
      <c r="E47" s="169"/>
      <c r="F47" s="173">
        <f>F45*F46</f>
        <v>20371020</v>
      </c>
    </row>
    <row r="48" spans="1:6" ht="12.75">
      <c r="A48" s="168"/>
      <c r="B48" s="176">
        <f>B45*B46</f>
        <v>39296000</v>
      </c>
      <c r="C48" s="171"/>
      <c r="D48" s="169">
        <f>10089000+10035000</f>
        <v>20124000</v>
      </c>
      <c r="E48" s="169">
        <f>SUM(F47-B48+D48)</f>
        <v>1199020</v>
      </c>
      <c r="F48" s="170">
        <f>SUM(B48+C48-D48+E48)</f>
        <v>20371020</v>
      </c>
    </row>
    <row r="49" spans="1:6" ht="12.75">
      <c r="A49" s="168"/>
      <c r="B49" s="171"/>
      <c r="C49" s="171"/>
      <c r="D49" s="171"/>
      <c r="E49" s="171"/>
      <c r="F49" s="173"/>
    </row>
    <row r="50" spans="1:6" ht="12.75">
      <c r="A50" s="168"/>
      <c r="B50" s="171"/>
      <c r="C50" s="171"/>
      <c r="D50" s="171"/>
      <c r="E50" s="171"/>
      <c r="F50" s="173"/>
    </row>
    <row r="51" spans="1:6" ht="12.75">
      <c r="A51" s="168" t="s">
        <v>269</v>
      </c>
      <c r="B51" s="177">
        <v>684807.488</v>
      </c>
      <c r="C51" s="176">
        <f>C54/C52</f>
        <v>474872.3629940966</v>
      </c>
      <c r="D51" s="169">
        <f>65800*2</f>
        <v>131600</v>
      </c>
      <c r="E51" s="169"/>
      <c r="F51" s="170">
        <f>SUM(B51+C51-D51)</f>
        <v>1028079.8509940966</v>
      </c>
    </row>
    <row r="52" spans="1:6" ht="12.75">
      <c r="A52" s="168" t="s">
        <v>301</v>
      </c>
      <c r="B52" s="171">
        <v>98.24</v>
      </c>
      <c r="C52" s="171">
        <v>101.8551</v>
      </c>
      <c r="D52" s="169"/>
      <c r="E52" s="169"/>
      <c r="F52" s="172">
        <v>101.8551</v>
      </c>
    </row>
    <row r="53" spans="1:6" ht="12.75">
      <c r="A53" s="168"/>
      <c r="B53" s="171"/>
      <c r="C53" s="171"/>
      <c r="D53" s="169"/>
      <c r="E53" s="169"/>
      <c r="F53" s="173">
        <f>F51*F52</f>
        <v>104715176.0309888</v>
      </c>
    </row>
    <row r="54" spans="1:6" ht="12.75">
      <c r="A54" s="168"/>
      <c r="B54" s="176">
        <f>B51*B52</f>
        <v>67275487.62111999</v>
      </c>
      <c r="C54" s="169">
        <v>48368172.02</v>
      </c>
      <c r="D54" s="169">
        <f>6638562+6603030</f>
        <v>13241592</v>
      </c>
      <c r="E54" s="169">
        <f>SUM(F53-B54-C54+D54)</f>
        <v>2313108.3898688033</v>
      </c>
      <c r="F54" s="170">
        <f>SUM(B54+C54-D54+E54)</f>
        <v>104715176.03098878</v>
      </c>
    </row>
    <row r="55" spans="1:6" ht="12.75">
      <c r="A55" s="168"/>
      <c r="B55" s="171"/>
      <c r="C55" s="171"/>
      <c r="D55" s="171"/>
      <c r="E55" s="171"/>
      <c r="F55" s="172"/>
    </row>
    <row r="56" spans="1:6" ht="12.75">
      <c r="A56" s="168" t="s">
        <v>271</v>
      </c>
      <c r="B56" s="177">
        <v>3571324.54</v>
      </c>
      <c r="C56" s="169">
        <f>C59/F57</f>
        <v>3069007.4444729853</v>
      </c>
      <c r="D56" s="169">
        <f>268184+275413</f>
        <v>543597</v>
      </c>
      <c r="E56" s="169"/>
      <c r="F56" s="170">
        <f>SUM(B56+C56-D56)</f>
        <v>6096734.984472985</v>
      </c>
    </row>
    <row r="57" spans="1:6" ht="12.75">
      <c r="A57" s="168" t="s">
        <v>302</v>
      </c>
      <c r="B57" s="171">
        <v>28.455</v>
      </c>
      <c r="C57" s="171">
        <v>29.1975</v>
      </c>
      <c r="D57" s="169"/>
      <c r="E57" s="169"/>
      <c r="F57" s="172">
        <v>29.1975</v>
      </c>
    </row>
    <row r="58" spans="1:6" ht="12.75">
      <c r="A58" s="168"/>
      <c r="B58" s="171"/>
      <c r="C58" s="171"/>
      <c r="D58" s="169"/>
      <c r="E58" s="169"/>
      <c r="F58" s="173">
        <f>F56*F57</f>
        <v>178009419.70915</v>
      </c>
    </row>
    <row r="59" spans="1:6" ht="12.75">
      <c r="A59" s="168"/>
      <c r="B59" s="169">
        <f>B56*B57-0.01</f>
        <v>101622039.77569999</v>
      </c>
      <c r="C59" s="169">
        <v>89607344.86</v>
      </c>
      <c r="D59" s="169">
        <f>7654239.55+7794490.86</f>
        <v>15448730.41</v>
      </c>
      <c r="E59" s="169">
        <f>SUM(F58-B59-C59+D59)</f>
        <v>2228765.4834499992</v>
      </c>
      <c r="F59" s="170">
        <f>SUM(B59+C59-D59+E59)</f>
        <v>178009419.70915</v>
      </c>
    </row>
    <row r="60" spans="1:6" ht="12.75">
      <c r="A60" s="168"/>
      <c r="B60" s="171"/>
      <c r="C60" s="171"/>
      <c r="D60" s="171"/>
      <c r="E60" s="171"/>
      <c r="F60" s="173"/>
    </row>
    <row r="61" spans="1:6" ht="12.75">
      <c r="A61" s="168" t="s">
        <v>270</v>
      </c>
      <c r="B61" s="169">
        <v>1229313.16</v>
      </c>
      <c r="C61" s="169"/>
      <c r="D61" s="169">
        <v>141000</v>
      </c>
      <c r="E61" s="169"/>
      <c r="F61" s="170">
        <f>SUM(B61+C61-D61)</f>
        <v>1088313.16</v>
      </c>
    </row>
    <row r="62" spans="1:6" ht="12.75">
      <c r="A62" s="168" t="s">
        <v>303</v>
      </c>
      <c r="B62" s="171">
        <v>34.4154</v>
      </c>
      <c r="C62" s="171"/>
      <c r="D62" s="169"/>
      <c r="E62" s="169"/>
      <c r="F62" s="172">
        <v>35.2822</v>
      </c>
    </row>
    <row r="63" spans="1:6" ht="12.75">
      <c r="A63" s="168"/>
      <c r="B63" s="171"/>
      <c r="C63" s="171"/>
      <c r="D63" s="169"/>
      <c r="E63" s="169"/>
      <c r="F63" s="173">
        <f>F61*F62</f>
        <v>38398082.573752</v>
      </c>
    </row>
    <row r="64" spans="1:6" ht="12.75">
      <c r="A64" s="168"/>
      <c r="B64" s="174">
        <f>B61*B62</f>
        <v>42307304.126664</v>
      </c>
      <c r="C64" s="169">
        <f>C61/F62</f>
        <v>0</v>
      </c>
      <c r="D64" s="169">
        <v>3792900</v>
      </c>
      <c r="E64" s="169">
        <f>SUM(F63-B64-C64+D64)</f>
        <v>-116321.55291199684</v>
      </c>
      <c r="F64" s="170">
        <f>SUM(B64+C64-D64+E64)</f>
        <v>38398082.573752</v>
      </c>
    </row>
    <row r="65" spans="1:6" ht="13.5" thickBot="1">
      <c r="A65" s="178"/>
      <c r="B65" s="179"/>
      <c r="C65" s="179"/>
      <c r="D65" s="179"/>
      <c r="E65" s="179"/>
      <c r="F65" s="180"/>
    </row>
    <row r="66" ht="13.5" thickTop="1">
      <c r="F66" s="126"/>
    </row>
    <row r="67" ht="12.75">
      <c r="F67" s="126"/>
    </row>
    <row r="68" spans="1:6" ht="12.75">
      <c r="A68" t="s">
        <v>235</v>
      </c>
      <c r="B68" s="128" t="s">
        <v>233</v>
      </c>
      <c r="C68" s="129" t="s">
        <v>231</v>
      </c>
      <c r="D68" s="129" t="s">
        <v>232</v>
      </c>
      <c r="E68" s="129"/>
      <c r="F68" s="128" t="s">
        <v>234</v>
      </c>
    </row>
    <row r="69" spans="1:6" ht="12.75">
      <c r="A69">
        <v>524</v>
      </c>
      <c r="B69" s="126">
        <v>69789761.23</v>
      </c>
      <c r="C69" s="126">
        <v>2339256.77</v>
      </c>
      <c r="D69" s="126">
        <f>3898865.84+1949432.92</f>
        <v>5848298.76</v>
      </c>
      <c r="E69" s="126"/>
      <c r="F69" s="127">
        <f>B69+C69-D69</f>
        <v>66280719.24</v>
      </c>
    </row>
    <row r="70" spans="1:6" ht="12.75">
      <c r="A70">
        <v>569</v>
      </c>
      <c r="B70" s="126">
        <v>68332009.34</v>
      </c>
      <c r="C70" s="126">
        <v>11540869.58</v>
      </c>
      <c r="D70" s="126">
        <v>2158726.46</v>
      </c>
      <c r="E70" s="126"/>
      <c r="F70" s="127">
        <f>B70+C70-D70</f>
        <v>77714152.46000001</v>
      </c>
    </row>
    <row r="71" spans="1:6" ht="12.75">
      <c r="A71">
        <v>258</v>
      </c>
      <c r="B71" s="126">
        <v>3763252.85</v>
      </c>
      <c r="C71" s="126">
        <f>16300139.11+39960949.31</f>
        <v>56261088.42</v>
      </c>
      <c r="F71" s="127">
        <f>B71+C71-D71</f>
        <v>60024341.27</v>
      </c>
    </row>
    <row r="72" spans="2:6" ht="12.75">
      <c r="B72" s="127">
        <f>SUM(B69:B71)</f>
        <v>141885023.42</v>
      </c>
      <c r="C72" s="127">
        <f>SUM(C69:C71)</f>
        <v>70141214.77</v>
      </c>
      <c r="D72" s="127">
        <f>SUM(D69:D71)</f>
        <v>8007025.22</v>
      </c>
      <c r="E72" s="127"/>
      <c r="F72" s="127">
        <f>SUM(F69:F71)</f>
        <v>204019212.97000003</v>
      </c>
    </row>
    <row r="74" spans="2:6" ht="13.5" thickBot="1">
      <c r="B74" s="126"/>
      <c r="C74" s="126"/>
      <c r="D74" s="126"/>
      <c r="E74" s="126"/>
      <c r="F74" s="127"/>
    </row>
    <row r="75" spans="1:6" ht="13.5" thickTop="1">
      <c r="A75" s="186" t="s">
        <v>319</v>
      </c>
      <c r="B75" s="182"/>
      <c r="C75" s="182"/>
      <c r="D75" s="182"/>
      <c r="E75" s="182"/>
      <c r="F75" s="183"/>
    </row>
    <row r="76" spans="1:6" ht="12.75">
      <c r="A76" s="168" t="s">
        <v>316</v>
      </c>
      <c r="B76" s="177">
        <v>11991914.4</v>
      </c>
      <c r="C76" s="169">
        <v>6280291</v>
      </c>
      <c r="D76" s="169"/>
      <c r="E76" s="169"/>
      <c r="F76" s="170">
        <f>SUM(B76+C76-D76)</f>
        <v>18272205.4</v>
      </c>
    </row>
    <row r="77" spans="1:6" ht="12.75">
      <c r="A77" s="168" t="s">
        <v>317</v>
      </c>
      <c r="B77" s="171">
        <v>28.455</v>
      </c>
      <c r="C77" s="171"/>
      <c r="D77" s="169"/>
      <c r="E77" s="169"/>
      <c r="F77" s="172">
        <v>29.1975</v>
      </c>
    </row>
    <row r="78" spans="1:6" ht="12.75">
      <c r="A78" s="168"/>
      <c r="B78" s="171"/>
      <c r="C78" s="171"/>
      <c r="D78" s="169"/>
      <c r="E78" s="169"/>
      <c r="F78" s="173">
        <f>F76*F77</f>
        <v>533502717.1665</v>
      </c>
    </row>
    <row r="79" spans="1:6" ht="13.5" thickBot="1">
      <c r="A79" s="178"/>
      <c r="B79" s="184">
        <f>B76*B77</f>
        <v>341229924.252</v>
      </c>
      <c r="C79" s="184">
        <v>182363198.79</v>
      </c>
      <c r="D79" s="184"/>
      <c r="E79" s="184">
        <f>SUM(F78-B79-C79+D79)+0.01</f>
        <v>9909594.134500006</v>
      </c>
      <c r="F79" s="185">
        <f>SUM(B79+C79-D79+E79)</f>
        <v>533502717.17649996</v>
      </c>
    </row>
    <row r="80" ht="13.5" thickTop="1">
      <c r="F80" s="127"/>
    </row>
    <row r="81" ht="13.5" thickBot="1">
      <c r="F81" s="127"/>
    </row>
    <row r="82" spans="1:6" ht="13.5" thickTop="1">
      <c r="A82" s="186" t="s">
        <v>256</v>
      </c>
      <c r="B82" s="182"/>
      <c r="C82" s="182"/>
      <c r="D82" s="182"/>
      <c r="E82" s="182"/>
      <c r="F82" s="183"/>
    </row>
    <row r="83" spans="1:6" ht="12.75">
      <c r="A83" s="168" t="s">
        <v>316</v>
      </c>
      <c r="B83" s="177">
        <v>1151461.57</v>
      </c>
      <c r="C83" s="169"/>
      <c r="D83" s="169">
        <v>127963.69</v>
      </c>
      <c r="E83" s="169"/>
      <c r="F83" s="170">
        <f>SUM(B83+C83-D83)</f>
        <v>1023497.8800000001</v>
      </c>
    </row>
    <row r="84" spans="1:6" ht="12.75">
      <c r="A84" s="168" t="s">
        <v>317</v>
      </c>
      <c r="B84" s="171">
        <v>28.455</v>
      </c>
      <c r="C84" s="171"/>
      <c r="D84" s="169"/>
      <c r="E84" s="169"/>
      <c r="F84" s="172">
        <v>29.1975</v>
      </c>
    </row>
    <row r="85" spans="1:6" ht="12.75">
      <c r="A85" s="168"/>
      <c r="B85" s="171"/>
      <c r="C85" s="171"/>
      <c r="D85" s="169"/>
      <c r="E85" s="169"/>
      <c r="F85" s="173">
        <f>F83*F84</f>
        <v>29883579.351300005</v>
      </c>
    </row>
    <row r="86" spans="1:6" ht="13.5" thickBot="1">
      <c r="A86" s="178"/>
      <c r="B86" s="184">
        <f>B83*B84</f>
        <v>32764838.97435</v>
      </c>
      <c r="C86" s="184"/>
      <c r="D86" s="184">
        <v>3827694.79</v>
      </c>
      <c r="E86" s="184">
        <f>SUM(F85-B86-C86+D86)</f>
        <v>946435.1669500032</v>
      </c>
      <c r="F86" s="185">
        <f>SUM(B86+C86-D86+E86)</f>
        <v>29883579.351300005</v>
      </c>
    </row>
    <row r="87" ht="13.5" thickTop="1">
      <c r="F87" s="127"/>
    </row>
    <row r="88" ht="13.5" thickBot="1">
      <c r="F88" s="126"/>
    </row>
    <row r="89" spans="1:6" ht="13.5" thickTop="1">
      <c r="A89" s="186" t="s">
        <v>256</v>
      </c>
      <c r="B89" s="182"/>
      <c r="C89" s="182"/>
      <c r="D89" s="182"/>
      <c r="E89" s="182"/>
      <c r="F89" s="183"/>
    </row>
    <row r="90" spans="1:6" ht="12.75">
      <c r="A90" s="168" t="s">
        <v>316</v>
      </c>
      <c r="B90" s="177">
        <v>2949471.33</v>
      </c>
      <c r="C90" s="169"/>
      <c r="D90" s="169">
        <v>180141.37</v>
      </c>
      <c r="E90" s="169"/>
      <c r="F90" s="170">
        <f>SUM(B90+C90-D90)</f>
        <v>2769329.96</v>
      </c>
    </row>
    <row r="91" spans="1:6" ht="12.75">
      <c r="A91" s="168" t="s">
        <v>318</v>
      </c>
      <c r="B91" s="171">
        <v>34.4154</v>
      </c>
      <c r="C91" s="171"/>
      <c r="D91" s="169"/>
      <c r="E91" s="169"/>
      <c r="F91" s="172">
        <v>35.2822</v>
      </c>
    </row>
    <row r="92" spans="1:6" ht="12.75">
      <c r="A92" s="168"/>
      <c r="B92" s="171"/>
      <c r="C92" s="171"/>
      <c r="D92" s="169"/>
      <c r="E92" s="169"/>
      <c r="F92" s="173">
        <f>F90*F91</f>
        <v>97708053.514712</v>
      </c>
    </row>
    <row r="93" spans="1:6" ht="13.5" thickBot="1">
      <c r="A93" s="178"/>
      <c r="B93" s="184">
        <f>B90*B91</f>
        <v>101507235.61048199</v>
      </c>
      <c r="C93" s="184"/>
      <c r="D93" s="184">
        <v>6367366.93</v>
      </c>
      <c r="E93" s="184">
        <f>SUM(F92-B93-C93+D93)</f>
        <v>2568184.834230013</v>
      </c>
      <c r="F93" s="185">
        <f>SUM(B93+C93-D93+E93)</f>
        <v>97708053.514712</v>
      </c>
    </row>
    <row r="94" spans="2:6" ht="13.5" thickTop="1">
      <c r="B94" s="126"/>
      <c r="D94" s="126"/>
      <c r="E94" s="126"/>
      <c r="F94" s="126"/>
    </row>
    <row r="95" ht="13.5" thickBot="1"/>
    <row r="96" spans="1:8" ht="13.5" thickTop="1">
      <c r="A96" s="186" t="s">
        <v>313</v>
      </c>
      <c r="B96" s="182"/>
      <c r="C96" s="182"/>
      <c r="D96" s="182"/>
      <c r="E96" s="182"/>
      <c r="F96" s="183"/>
      <c r="H96" s="126">
        <v>163666517.46</v>
      </c>
    </row>
    <row r="97" spans="1:8" ht="12.75">
      <c r="A97" s="168" t="s">
        <v>314</v>
      </c>
      <c r="B97" s="177">
        <v>5751766.56</v>
      </c>
      <c r="C97" s="169"/>
      <c r="D97" s="169">
        <v>0</v>
      </c>
      <c r="E97" s="169"/>
      <c r="F97" s="170">
        <f>SUM(B97+C97-D97)</f>
        <v>5751766.56</v>
      </c>
      <c r="H97" s="126">
        <v>4270686.67</v>
      </c>
    </row>
    <row r="98" spans="1:8" ht="12.75">
      <c r="A98" s="168" t="s">
        <v>315</v>
      </c>
      <c r="B98" s="171">
        <v>28.455</v>
      </c>
      <c r="C98" s="171"/>
      <c r="D98" s="169"/>
      <c r="E98" s="169"/>
      <c r="F98" s="172">
        <v>29.1975</v>
      </c>
      <c r="H98" s="126">
        <f>SUM(H96:H97)</f>
        <v>167937204.13</v>
      </c>
    </row>
    <row r="99" spans="1:6" ht="12.75">
      <c r="A99" s="168"/>
      <c r="B99" s="171"/>
      <c r="C99" s="171"/>
      <c r="D99" s="169"/>
      <c r="E99" s="169"/>
      <c r="F99" s="173">
        <f>F97*F98</f>
        <v>167937204.1356</v>
      </c>
    </row>
    <row r="100" spans="1:6" ht="13.5" thickBot="1">
      <c r="A100" s="178"/>
      <c r="B100" s="184">
        <f>B97*B98</f>
        <v>163666517.46479997</v>
      </c>
      <c r="C100" s="184"/>
      <c r="D100" s="184">
        <v>0</v>
      </c>
      <c r="E100" s="184">
        <f>SUM(F99-B100-C100+D100)+0.01</f>
        <v>4270686.68080003</v>
      </c>
      <c r="F100" s="185">
        <f>SUM(B100+C100-D100+E100)-0.01</f>
        <v>167937204.1356</v>
      </c>
    </row>
    <row r="101" spans="2:3" ht="13.5" thickTop="1">
      <c r="B101" s="126"/>
      <c r="C101" s="126"/>
    </row>
    <row r="102" ht="13.5" thickBot="1"/>
    <row r="103" spans="1:6" ht="13.5" thickTop="1">
      <c r="A103" s="186" t="s">
        <v>307</v>
      </c>
      <c r="B103" s="182"/>
      <c r="C103" s="182"/>
      <c r="D103" s="182"/>
      <c r="E103" s="182"/>
      <c r="F103" s="183"/>
    </row>
    <row r="104" spans="1:6" ht="12.75">
      <c r="A104" s="168" t="s">
        <v>308</v>
      </c>
      <c r="B104" s="177">
        <v>387168.98</v>
      </c>
      <c r="C104" s="169"/>
      <c r="D104" s="169">
        <v>0</v>
      </c>
      <c r="E104" s="169"/>
      <c r="F104" s="170">
        <f>SUM(B104+C104-D104)</f>
        <v>387168.98</v>
      </c>
    </row>
    <row r="105" spans="1:6" ht="12.75">
      <c r="A105" s="168" t="s">
        <v>309</v>
      </c>
      <c r="B105" s="171">
        <v>34.4154</v>
      </c>
      <c r="C105" s="171"/>
      <c r="D105" s="169"/>
      <c r="E105" s="169"/>
      <c r="F105" s="172">
        <v>35.2822</v>
      </c>
    </row>
    <row r="106" spans="1:6" ht="12.75">
      <c r="A106" s="168"/>
      <c r="B106" s="171"/>
      <c r="C106" s="171"/>
      <c r="D106" s="169"/>
      <c r="E106" s="169"/>
      <c r="F106" s="173">
        <f>F104*F105</f>
        <v>13660173.386156</v>
      </c>
    </row>
    <row r="107" spans="1:6" ht="13.5" thickBot="1">
      <c r="A107" s="178"/>
      <c r="B107" s="184">
        <f>B104*B105</f>
        <v>13324575.314291999</v>
      </c>
      <c r="C107" s="184"/>
      <c r="D107" s="184">
        <v>0</v>
      </c>
      <c r="E107" s="184">
        <f>SUM(F106-B107-C107+D107)-0.01</f>
        <v>335598.06186400144</v>
      </c>
      <c r="F107" s="185">
        <f>SUM(B107+C107-D107+E107)+0.01</f>
        <v>13660173.386156</v>
      </c>
    </row>
    <row r="108" ht="13.5" thickTop="1">
      <c r="F108" s="133"/>
    </row>
    <row r="109" ht="13.5" thickBot="1">
      <c r="F109" s="126"/>
    </row>
    <row r="110" spans="1:6" ht="13.5" thickTop="1">
      <c r="A110" s="186" t="s">
        <v>257</v>
      </c>
      <c r="B110" s="182"/>
      <c r="C110" s="182"/>
      <c r="D110" s="182"/>
      <c r="E110" s="182"/>
      <c r="F110" s="183"/>
    </row>
    <row r="111" spans="1:6" ht="12.75">
      <c r="A111" s="168" t="s">
        <v>305</v>
      </c>
      <c r="B111" s="177">
        <v>897841.42</v>
      </c>
      <c r="C111" s="169"/>
      <c r="D111" s="169">
        <f>16324.39*2</f>
        <v>32648.78</v>
      </c>
      <c r="E111" s="169"/>
      <c r="F111" s="170">
        <f>SUM(B111+C111-D111)</f>
        <v>865192.64</v>
      </c>
    </row>
    <row r="112" spans="1:6" ht="12.75">
      <c r="A112" s="168" t="s">
        <v>306</v>
      </c>
      <c r="B112" s="171">
        <v>34.4154</v>
      </c>
      <c r="C112" s="171"/>
      <c r="D112" s="169"/>
      <c r="E112" s="169"/>
      <c r="F112" s="172">
        <v>35.2822</v>
      </c>
    </row>
    <row r="113" spans="1:6" ht="12.75">
      <c r="A113" s="168"/>
      <c r="B113" s="171"/>
      <c r="C113" s="171"/>
      <c r="D113" s="169"/>
      <c r="E113" s="169"/>
      <c r="F113" s="173">
        <f>F111*F112</f>
        <v>30525899.763008002</v>
      </c>
    </row>
    <row r="114" spans="1:6" ht="12.75" customHeight="1" thickBot="1">
      <c r="A114" s="178"/>
      <c r="B114" s="184">
        <f>B111*B112-0.01</f>
        <v>30899571.595868</v>
      </c>
      <c r="C114" s="184"/>
      <c r="D114" s="184">
        <f>571631.15+605117.39</f>
        <v>1176748.54</v>
      </c>
      <c r="E114" s="184">
        <f>SUM(F113-B114-C114+D114)-0.01</f>
        <v>803076.6971400033</v>
      </c>
      <c r="F114" s="185">
        <f>SUM(B114+C114-D114+E114)+0.01</f>
        <v>30525899.763008006</v>
      </c>
    </row>
    <row r="115" ht="13.5" thickTop="1"/>
    <row r="116" ht="13.5" thickBot="1"/>
    <row r="117" spans="1:6" ht="13.5" thickTop="1">
      <c r="A117" s="186" t="s">
        <v>310</v>
      </c>
      <c r="B117" s="182"/>
      <c r="C117" s="182"/>
      <c r="D117" s="182"/>
      <c r="E117" s="182"/>
      <c r="F117" s="183"/>
    </row>
    <row r="118" spans="1:6" ht="12.75">
      <c r="A118" s="168" t="s">
        <v>311</v>
      </c>
      <c r="B118" s="177">
        <v>963197.68</v>
      </c>
      <c r="C118" s="169"/>
      <c r="D118" s="169">
        <f>22399.94*2</f>
        <v>44799.88</v>
      </c>
      <c r="E118" s="169"/>
      <c r="F118" s="170">
        <f>SUM(B118+C118-D118)</f>
        <v>918397.8</v>
      </c>
    </row>
    <row r="119" spans="1:6" ht="12.75">
      <c r="A119" s="168" t="s">
        <v>312</v>
      </c>
      <c r="B119" s="171">
        <v>34.4154</v>
      </c>
      <c r="C119" s="171"/>
      <c r="D119" s="169"/>
      <c r="E119" s="169"/>
      <c r="F119" s="172">
        <v>35.2822</v>
      </c>
    </row>
    <row r="120" spans="1:6" ht="12.75">
      <c r="A120" s="168"/>
      <c r="B120" s="171"/>
      <c r="C120" s="171"/>
      <c r="D120" s="169"/>
      <c r="E120" s="169"/>
      <c r="F120" s="173">
        <f>F118*F119</f>
        <v>32403094.859160006</v>
      </c>
    </row>
    <row r="121" spans="1:6" ht="13.5" thickBot="1">
      <c r="A121" s="178"/>
      <c r="B121" s="184">
        <f>B118*B119</f>
        <v>33148833.436272</v>
      </c>
      <c r="C121" s="184"/>
      <c r="D121" s="184">
        <f>808575.11+799039.46</f>
        <v>1607614.5699999998</v>
      </c>
      <c r="E121" s="184">
        <f>SUM(F120-B121-C121+D121)</f>
        <v>861875.9928880068</v>
      </c>
      <c r="F121" s="185">
        <f>SUM(B121+C121-D121+E121)</f>
        <v>32403094.859160006</v>
      </c>
    </row>
    <row r="122" ht="14.25" thickBot="1" thickTop="1"/>
    <row r="123" spans="1:6" ht="13.5" thickTop="1">
      <c r="A123" s="186" t="s">
        <v>334</v>
      </c>
      <c r="B123" s="182"/>
      <c r="C123" s="182"/>
      <c r="D123" s="182"/>
      <c r="E123" s="182"/>
      <c r="F123" s="183"/>
    </row>
    <row r="124" spans="1:6" ht="12.75">
      <c r="A124" s="168" t="s">
        <v>335</v>
      </c>
      <c r="B124" s="177">
        <v>971320000</v>
      </c>
      <c r="C124" s="169"/>
      <c r="D124" s="169">
        <f>34690000*2</f>
        <v>69380000</v>
      </c>
      <c r="E124" s="169"/>
      <c r="F124" s="170">
        <f>SUM(B124+C124-D124)</f>
        <v>901940000</v>
      </c>
    </row>
    <row r="125" spans="1:6" ht="12.75">
      <c r="A125" s="168" t="s">
        <v>336</v>
      </c>
      <c r="B125" s="171">
        <v>0.2624</v>
      </c>
      <c r="C125" s="171"/>
      <c r="D125" s="169"/>
      <c r="E125" s="169"/>
      <c r="F125" s="172">
        <v>0.26458</v>
      </c>
    </row>
    <row r="126" spans="1:6" ht="12.75">
      <c r="A126" s="168"/>
      <c r="B126" s="171"/>
      <c r="C126" s="171"/>
      <c r="D126" s="169"/>
      <c r="E126" s="169"/>
      <c r="F126" s="173">
        <f>F124*F125</f>
        <v>238635285.2</v>
      </c>
    </row>
    <row r="127" spans="1:6" ht="13.5" thickBot="1">
      <c r="A127" s="178"/>
      <c r="B127" s="184">
        <f>B124*B125</f>
        <v>254874368.00000003</v>
      </c>
      <c r="C127" s="184"/>
      <c r="D127" s="184">
        <f>9224071+9511998.01</f>
        <v>18736069.009999998</v>
      </c>
      <c r="E127" s="184">
        <f>SUM(F126-B127-C127+D127)</f>
        <v>2496986.209999956</v>
      </c>
      <c r="F127" s="185">
        <f>SUM(B127+C127-D127+E127)</f>
        <v>238635285.2</v>
      </c>
    </row>
    <row r="128" ht="13.5" thickTop="1"/>
  </sheetData>
  <mergeCells count="3">
    <mergeCell ref="A37:F37"/>
    <mergeCell ref="A1:F1"/>
    <mergeCell ref="A2:F2"/>
  </mergeCells>
  <printOptions gridLines="1" horizontalCentered="1"/>
  <pageMargins left="0.43" right="0.33" top="0.52" bottom="0.4" header="0.5" footer="0.17"/>
  <pageSetup horizontalDpi="600" verticalDpi="600" orientation="portrait" paperSize="9" r:id="rId1"/>
  <rowBreaks count="2" manualBreakCount="2">
    <brk id="33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2006-01-09T07:44:43Z</cp:lastPrinted>
  <dcterms:created xsi:type="dcterms:W3CDTF">2005-02-17T09:47:50Z</dcterms:created>
  <dcterms:modified xsi:type="dcterms:W3CDTF">2005-10-25T08:01:59Z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35000.0000000000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