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4"/>
  </bookViews>
  <sheets>
    <sheet name="Sheet1" sheetId="1" r:id="rId1"/>
    <sheet name="Sheet2" sheetId="2" r:id="rId2"/>
    <sheet name="npf" sheetId="3" r:id="rId3"/>
    <sheet name="posb" sheetId="4" r:id="rId4"/>
    <sheet name="Special Fund" sheetId="5" r:id="rId5"/>
  </sheets>
  <definedNames>
    <definedName name="_xlnm.Print_Area" localSheetId="4">'Special Fund'!$A$1:$J$26</definedName>
    <definedName name="_xlnm.Print_Titles" localSheetId="4">'Special Fund'!$1:$6</definedName>
  </definedNames>
  <calcPr fullCalcOnLoad="1"/>
</workbook>
</file>

<file path=xl/sharedStrings.xml><?xml version="1.0" encoding="utf-8"?>
<sst xmlns="http://schemas.openxmlformats.org/spreadsheetml/2006/main" count="121" uniqueCount="90">
  <si>
    <t>Add</t>
  </si>
  <si>
    <t>Deduct</t>
  </si>
  <si>
    <t>Investments</t>
  </si>
  <si>
    <t>Description</t>
  </si>
  <si>
    <t>Balance</t>
  </si>
  <si>
    <t xml:space="preserve">Appreciation </t>
  </si>
  <si>
    <t>Depreciation</t>
  </si>
  <si>
    <t>Balance at</t>
  </si>
  <si>
    <t>held at Market</t>
  </si>
  <si>
    <t>Cash Balance</t>
  </si>
  <si>
    <t>Receipts</t>
  </si>
  <si>
    <t>Payments</t>
  </si>
  <si>
    <t>on Investments</t>
  </si>
  <si>
    <t>or Cost Price(a)</t>
  </si>
  <si>
    <t>Rs</t>
  </si>
  <si>
    <t>Curatelle Fund</t>
  </si>
  <si>
    <t>De Chazal Maternity Home Fund</t>
  </si>
  <si>
    <t>Morris Legacy Fund</t>
  </si>
  <si>
    <t>National Energy Fund</t>
  </si>
  <si>
    <t>Prime Minister's Cyclone Relief Fund</t>
  </si>
  <si>
    <t>Sugar Industry Labour Welfare Fund</t>
  </si>
  <si>
    <t>Student Relief Fund</t>
  </si>
  <si>
    <t>TOTAL</t>
  </si>
  <si>
    <t>J.VALAYTHEN</t>
  </si>
  <si>
    <t>BANK DEPOSIT</t>
  </si>
  <si>
    <t>GOVT SECURITIES</t>
  </si>
  <si>
    <t>LOANS</t>
  </si>
  <si>
    <t xml:space="preserve"> </t>
  </si>
  <si>
    <t>Accountant-General</t>
  </si>
  <si>
    <t>FUND</t>
  </si>
  <si>
    <t>99-2000</t>
  </si>
  <si>
    <t>diff</t>
  </si>
  <si>
    <t>mdls</t>
  </si>
  <si>
    <t>tbills</t>
  </si>
  <si>
    <t>share</t>
  </si>
  <si>
    <t>ba dep</t>
  </si>
  <si>
    <t>loans</t>
  </si>
  <si>
    <t>stock exc</t>
  </si>
  <si>
    <t>foreign</t>
  </si>
  <si>
    <t>total</t>
  </si>
  <si>
    <t>disposal</t>
  </si>
  <si>
    <t>additions</t>
  </si>
  <si>
    <t>op bal</t>
  </si>
  <si>
    <t>clo bal</t>
  </si>
  <si>
    <t>mcb</t>
  </si>
  <si>
    <t>30/6/99</t>
  </si>
  <si>
    <t>30/6/2000</t>
  </si>
  <si>
    <t>bai</t>
  </si>
  <si>
    <t>swan</t>
  </si>
  <si>
    <t>mtius union</t>
  </si>
  <si>
    <t>mbl</t>
  </si>
  <si>
    <t>mcfi</t>
  </si>
  <si>
    <t>ubp</t>
  </si>
  <si>
    <t>gamma</t>
  </si>
  <si>
    <t>fincorp</t>
  </si>
  <si>
    <t>gidc</t>
  </si>
  <si>
    <t>nit</t>
  </si>
  <si>
    <t>policy</t>
  </si>
  <si>
    <t>united docks</t>
  </si>
  <si>
    <t>harel</t>
  </si>
  <si>
    <t>mtmd</t>
  </si>
  <si>
    <t>courts</t>
  </si>
  <si>
    <t>happy world</t>
  </si>
  <si>
    <t>ibl</t>
  </si>
  <si>
    <t>rogers</t>
  </si>
  <si>
    <t>shell</t>
  </si>
  <si>
    <t>new mtius hotels</t>
  </si>
  <si>
    <t>sun resorts</t>
  </si>
  <si>
    <t>air mtius</t>
  </si>
  <si>
    <t>rec</t>
  </si>
  <si>
    <t>paym</t>
  </si>
  <si>
    <t>closing</t>
  </si>
  <si>
    <t>abstract</t>
  </si>
  <si>
    <t>2001/2002</t>
  </si>
  <si>
    <t>POSB</t>
  </si>
  <si>
    <t>2002/2003</t>
  </si>
  <si>
    <t>SILWF2001-2002</t>
  </si>
  <si>
    <t>SILWF2002-2003</t>
  </si>
  <si>
    <t>STATEMENT H</t>
  </si>
  <si>
    <t>Statement of Special Funds deposited with the Accountant-General as at 30 June 2004</t>
  </si>
  <si>
    <t>1 July 2003</t>
  </si>
  <si>
    <t>30 June 2004</t>
  </si>
  <si>
    <t>ok</t>
  </si>
  <si>
    <t>Pending</t>
  </si>
  <si>
    <t>National Pensions Fund(b)</t>
  </si>
  <si>
    <t>(b) This Fund is not deposited with the Accountant-General.</t>
  </si>
  <si>
    <t>(a) Payments include adjustments of Rs 1,849,343,090.23 effected on transfer of POSB undertakings to the Mauritius Post and Cooperative Bank Ltd</t>
  </si>
  <si>
    <t>Post Office Savings Bank  (a)</t>
  </si>
  <si>
    <t>Statement of Investments as at 30 June 2004</t>
  </si>
  <si>
    <t>14 October, 2004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</si>
</sst>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(\b\)"/>
    <numFmt numFmtId="173" formatCode="#,##0.00\(\e\)"/>
    <numFmt numFmtId="174" formatCode="\(\b\)#,##0.00"/>
    <numFmt numFmtId="175" formatCode="0.0"/>
  </numFmts>
  <fonts count="12">
    <font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b/>
      <sz val="10"/>
      <name val="Tms Rmn"/>
      <family val="0"/>
    </font>
    <font>
      <sz val="10"/>
      <name val="Helv"/>
      <family val="0"/>
    </font>
    <font>
      <b/>
      <i/>
      <sz val="10"/>
      <name val="Tms Rmn"/>
      <family val="0"/>
    </font>
    <font>
      <b/>
      <i/>
      <sz val="12"/>
      <name val="Tms Rmn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0"/>
      <color indexed="12"/>
      <name val="Tms Rmn"/>
      <family val="0"/>
    </font>
    <font>
      <sz val="14"/>
      <name val="Tms Rm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3" fillId="0" borderId="0" xfId="0" applyNumberFormat="1" applyFont="1" applyAlignment="1">
      <alignment/>
    </xf>
    <xf numFmtId="0" fontId="2" fillId="1" borderId="0" xfId="0" applyNumberFormat="1" applyFont="1" applyFill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NumberFormat="1" applyFont="1" applyBorder="1" applyAlignment="1">
      <alignment/>
    </xf>
    <xf numFmtId="0" fontId="3" fillId="1" borderId="4" xfId="0" applyNumberFormat="1" applyFont="1" applyFill="1" applyBorder="1" applyAlignment="1">
      <alignment vertical="center"/>
    </xf>
    <xf numFmtId="0" fontId="5" fillId="1" borderId="4" xfId="0" applyNumberFormat="1" applyFont="1" applyFill="1" applyBorder="1" applyAlignment="1">
      <alignment horizontal="center" vertical="center"/>
    </xf>
    <xf numFmtId="0" fontId="3" fillId="1" borderId="4" xfId="0" applyNumberFormat="1" applyFont="1" applyFill="1" applyBorder="1" applyAlignment="1">
      <alignment horizontal="center" vertical="center"/>
    </xf>
    <xf numFmtId="0" fontId="3" fillId="1" borderId="5" xfId="0" applyNumberFormat="1" applyFont="1" applyFill="1" applyBorder="1" applyAlignment="1">
      <alignment horizontal="center" vertical="center"/>
    </xf>
    <xf numFmtId="0" fontId="3" fillId="1" borderId="2" xfId="0" applyNumberFormat="1" applyFont="1" applyFill="1" applyBorder="1" applyAlignment="1">
      <alignment horizontal="center" vertical="center"/>
    </xf>
    <xf numFmtId="0" fontId="3" fillId="1" borderId="0" xfId="0" applyNumberFormat="1" applyFont="1" applyFill="1" applyBorder="1" applyAlignment="1">
      <alignment horizontal="center" vertical="center"/>
    </xf>
    <xf numFmtId="0" fontId="3" fillId="1" borderId="6" xfId="0" applyNumberFormat="1" applyFont="1" applyFill="1" applyBorder="1" applyAlignment="1">
      <alignment vertical="center"/>
    </xf>
    <xf numFmtId="0" fontId="3" fillId="1" borderId="6" xfId="0" applyNumberFormat="1" applyFont="1" applyFill="1" applyBorder="1" applyAlignment="1">
      <alignment horizontal="center" vertical="center"/>
    </xf>
    <xf numFmtId="0" fontId="3" fillId="1" borderId="1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/>
    </xf>
    <xf numFmtId="15" fontId="3" fillId="1" borderId="6" xfId="0" applyNumberFormat="1" applyFont="1" applyFill="1" applyBorder="1" applyAlignment="1" quotePrefix="1">
      <alignment horizontal="center" vertical="center"/>
    </xf>
    <xf numFmtId="0" fontId="5" fillId="1" borderId="2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Alignment="1">
      <alignment horizontal="center" vertical="center" textRotation="180"/>
    </xf>
    <xf numFmtId="0" fontId="5" fillId="1" borderId="8" xfId="0" applyNumberFormat="1" applyFont="1" applyFill="1" applyBorder="1" applyAlignment="1">
      <alignment horizontal="centerContinuous" vertical="center"/>
    </xf>
    <xf numFmtId="0" fontId="0" fillId="1" borderId="9" xfId="0" applyNumberFormat="1" applyFill="1" applyBorder="1" applyAlignment="1">
      <alignment horizontal="centerContinuous"/>
    </xf>
    <xf numFmtId="4" fontId="0" fillId="0" borderId="0" xfId="15" applyAlignment="1">
      <alignment/>
    </xf>
    <xf numFmtId="0" fontId="0" fillId="0" borderId="0" xfId="0" applyAlignment="1">
      <alignment textRotation="180"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4" fontId="8" fillId="0" borderId="11" xfId="15" applyFont="1" applyBorder="1" applyAlignment="1">
      <alignment/>
    </xf>
    <xf numFmtId="4" fontId="8" fillId="0" borderId="10" xfId="15" applyFont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15" applyFont="1" applyAlignment="1">
      <alignment/>
    </xf>
    <xf numFmtId="4" fontId="0" fillId="0" borderId="10" xfId="15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0" fillId="0" borderId="10" xfId="15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15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15" applyFont="1" applyAlignment="1" quotePrefix="1">
      <alignment/>
    </xf>
    <xf numFmtId="4" fontId="0" fillId="0" borderId="12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13" xfId="15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0" fillId="0" borderId="14" xfId="15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0" fillId="0" borderId="0" xfId="15" applyBorder="1" applyAlignment="1">
      <alignment/>
    </xf>
    <xf numFmtId="43" fontId="0" fillId="0" borderId="2" xfId="0" applyNumberFormat="1" applyBorder="1" applyAlignment="1">
      <alignment/>
    </xf>
    <xf numFmtId="4" fontId="0" fillId="0" borderId="15" xfId="15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4" fontId="8" fillId="0" borderId="0" xfId="15" applyFont="1" applyAlignment="1">
      <alignment/>
    </xf>
    <xf numFmtId="4" fontId="0" fillId="0" borderId="0" xfId="15" applyFont="1" applyAlignment="1">
      <alignment/>
    </xf>
    <xf numFmtId="0" fontId="8" fillId="0" borderId="0" xfId="0" applyNumberFormat="1" applyFont="1" applyAlignment="1">
      <alignment horizontal="centerContinuous"/>
    </xf>
    <xf numFmtId="0" fontId="6" fillId="1" borderId="0" xfId="0" applyNumberFormat="1" applyFont="1" applyFill="1" applyAlignment="1">
      <alignment horizontal="centerContinuous" vertical="center"/>
    </xf>
    <xf numFmtId="0" fontId="9" fillId="0" borderId="16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defaultGridColor="0" colorId="0" workbookViewId="0" topLeftCell="A1">
      <pane xSplit="1" ySplit="2" topLeftCell="D6" activePane="bottomRight" state="split"/>
      <selection pane="topLeft" activeCell="A1" sqref="A1"/>
      <selection pane="topRight" activeCell="B1" sqref="B1"/>
      <selection pane="bottomLeft" activeCell="A4" sqref="A4"/>
      <selection pane="bottomRight" activeCell="E8" sqref="E8"/>
    </sheetView>
  </sheetViews>
  <sheetFormatPr defaultColWidth="9.00390625" defaultRowHeight="12.75"/>
  <cols>
    <col min="1" max="1" width="41.875" style="0" customWidth="1"/>
    <col min="2" max="2" width="23.00390625" style="0" customWidth="1"/>
    <col min="3" max="3" width="27.375" style="0" customWidth="1"/>
    <col min="4" max="4" width="19.50390625" style="0" customWidth="1"/>
    <col min="5" max="5" width="22.125" style="0" customWidth="1"/>
    <col min="6" max="6" width="24.625" style="0" customWidth="1"/>
  </cols>
  <sheetData>
    <row r="1" spans="1:5" ht="32.25" customHeight="1">
      <c r="A1" s="81" t="s">
        <v>88</v>
      </c>
      <c r="B1" s="81"/>
      <c r="C1" s="81"/>
      <c r="D1" s="81"/>
      <c r="E1" s="81"/>
    </row>
    <row r="2" spans="1:5" s="43" customFormat="1" ht="30.75" customHeight="1">
      <c r="A2" s="50" t="s">
        <v>29</v>
      </c>
      <c r="B2" s="50" t="s">
        <v>24</v>
      </c>
      <c r="C2" s="50" t="s">
        <v>25</v>
      </c>
      <c r="D2" s="50" t="s">
        <v>26</v>
      </c>
      <c r="E2" s="50" t="s">
        <v>22</v>
      </c>
    </row>
    <row r="3" spans="1:5" s="48" customFormat="1" ht="30.75" customHeight="1">
      <c r="A3" s="44" t="s">
        <v>16</v>
      </c>
      <c r="B3" s="45">
        <f>420174.44</f>
        <v>420174.44</v>
      </c>
      <c r="C3" s="46"/>
      <c r="D3" s="46"/>
      <c r="E3" s="47">
        <f aca="true" t="shared" si="0" ref="E3:E8">SUM(B3:D3)</f>
        <v>420174.44</v>
      </c>
    </row>
    <row r="4" spans="1:6" s="48" customFormat="1" ht="30.75" customHeight="1">
      <c r="A4" s="44" t="s">
        <v>17</v>
      </c>
      <c r="B4" s="45">
        <v>4262088.06</v>
      </c>
      <c r="C4" s="46"/>
      <c r="D4" s="46"/>
      <c r="E4" s="47">
        <f t="shared" si="0"/>
        <v>4262088.06</v>
      </c>
      <c r="F4" s="77"/>
    </row>
    <row r="5" spans="1:6" s="48" customFormat="1" ht="30.75" customHeight="1">
      <c r="A5" s="44" t="s">
        <v>18</v>
      </c>
      <c r="B5" s="45">
        <v>18537209.82</v>
      </c>
      <c r="C5" s="46"/>
      <c r="D5" s="46"/>
      <c r="E5" s="47">
        <f t="shared" si="0"/>
        <v>18537209.82</v>
      </c>
      <c r="F5" s="77"/>
    </row>
    <row r="6" spans="1:5" s="48" customFormat="1" ht="30.75" customHeight="1">
      <c r="A6" s="44" t="s">
        <v>19</v>
      </c>
      <c r="B6" s="45">
        <v>3638327.05</v>
      </c>
      <c r="C6" s="46"/>
      <c r="D6" s="46"/>
      <c r="E6" s="47">
        <f t="shared" si="0"/>
        <v>3638327.05</v>
      </c>
    </row>
    <row r="7" spans="1:5" s="48" customFormat="1" ht="30.75" customHeight="1">
      <c r="A7" s="44" t="s">
        <v>20</v>
      </c>
      <c r="B7" s="45">
        <v>17800000</v>
      </c>
      <c r="C7" s="46">
        <v>35560844</v>
      </c>
      <c r="D7" s="46">
        <v>12632975</v>
      </c>
      <c r="E7" s="47">
        <f t="shared" si="0"/>
        <v>65993819</v>
      </c>
    </row>
    <row r="8" spans="1:5" s="48" customFormat="1" ht="30.75" customHeight="1">
      <c r="A8" s="44" t="s">
        <v>21</v>
      </c>
      <c r="B8" s="45">
        <v>6880000</v>
      </c>
      <c r="C8" s="46"/>
      <c r="D8" s="46"/>
      <c r="E8" s="47">
        <f t="shared" si="0"/>
        <v>6880000</v>
      </c>
    </row>
    <row r="9" spans="1:5" s="48" customFormat="1" ht="30.75" customHeight="1">
      <c r="A9" s="49"/>
      <c r="B9" s="46">
        <f>SUM(B3:B8)</f>
        <v>51537799.370000005</v>
      </c>
      <c r="C9" s="46">
        <f>SUM(C3:C8)</f>
        <v>35560844</v>
      </c>
      <c r="D9" s="46">
        <f>SUM(D3:D8)</f>
        <v>12632975</v>
      </c>
      <c r="E9" s="46">
        <f>SUM(E3:E8)</f>
        <v>99731618.37</v>
      </c>
    </row>
    <row r="10" spans="2:5" ht="15.75">
      <c r="B10" s="40"/>
      <c r="C10" s="40"/>
      <c r="D10" s="40"/>
      <c r="E10" s="51">
        <f>SUM(B9:D9)</f>
        <v>99731618.37</v>
      </c>
    </row>
    <row r="11" spans="2:4" ht="12.75">
      <c r="B11" s="40"/>
      <c r="C11" s="40"/>
      <c r="D11" s="40"/>
    </row>
    <row r="12" spans="2:4" ht="12.75">
      <c r="B12" s="40"/>
      <c r="C12" s="40"/>
      <c r="D12" s="40"/>
    </row>
    <row r="13" ht="12.75">
      <c r="C13" s="40"/>
    </row>
  </sheetData>
  <mergeCells count="1">
    <mergeCell ref="A1:E1"/>
  </mergeCells>
  <printOptions horizontalCentered="1"/>
  <pageMargins left="0.29" right="0.29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60"/>
  <sheetViews>
    <sheetView workbookViewId="0" topLeftCell="A49">
      <selection activeCell="B56" sqref="B56"/>
    </sheetView>
  </sheetViews>
  <sheetFormatPr defaultColWidth="9.00390625" defaultRowHeight="12.75"/>
  <cols>
    <col min="2" max="2" width="20.375" style="40" customWidth="1"/>
    <col min="3" max="3" width="21.375" style="0" customWidth="1"/>
  </cols>
  <sheetData>
    <row r="3" spans="2:3" ht="12.75">
      <c r="B3" s="40">
        <v>5639161.8</v>
      </c>
      <c r="C3" s="40">
        <v>-16987916.22</v>
      </c>
    </row>
    <row r="4" spans="2:3" ht="12.75">
      <c r="B4" s="40">
        <v>22441413714.86</v>
      </c>
      <c r="C4" s="40">
        <v>25955139978</v>
      </c>
    </row>
    <row r="5" spans="2:3" ht="12.75">
      <c r="B5" s="40">
        <f>SUM(B3:B4)</f>
        <v>22447052876.66</v>
      </c>
      <c r="C5" s="40">
        <f>SUM(C3:C4)</f>
        <v>25938152061.78</v>
      </c>
    </row>
    <row r="9" ht="12.75">
      <c r="B9" s="40">
        <v>1142164395.1</v>
      </c>
    </row>
    <row r="10" ht="12.75">
      <c r="B10" s="40">
        <v>8587865.19</v>
      </c>
    </row>
    <row r="11" ht="12.75">
      <c r="B11" s="40">
        <v>1141704.75</v>
      </c>
    </row>
    <row r="12" ht="12.75">
      <c r="B12" s="40">
        <v>2502249.94</v>
      </c>
    </row>
    <row r="13" ht="12.75">
      <c r="B13" s="40">
        <v>2786327555.87</v>
      </c>
    </row>
    <row r="14" ht="12.75">
      <c r="B14" s="40">
        <v>54410489.85</v>
      </c>
    </row>
    <row r="15" ht="12.75">
      <c r="B15" s="40">
        <v>10923741.01</v>
      </c>
    </row>
    <row r="16" ht="12.75">
      <c r="B16" s="40">
        <v>6714558.66</v>
      </c>
    </row>
    <row r="17" ht="12.75">
      <c r="B17" s="40">
        <v>58046465.16</v>
      </c>
    </row>
    <row r="18" ht="12.75">
      <c r="B18" s="40">
        <v>7488995.45</v>
      </c>
    </row>
    <row r="19" ht="12.75">
      <c r="B19" s="40">
        <v>4894730</v>
      </c>
    </row>
    <row r="20" ht="12.75">
      <c r="B20" s="40">
        <v>2692560</v>
      </c>
    </row>
    <row r="21" ht="12.75">
      <c r="B21" s="40">
        <v>4174511064.5</v>
      </c>
    </row>
    <row r="22" ht="12.75">
      <c r="B22" s="40">
        <v>7134</v>
      </c>
    </row>
    <row r="23" ht="12.75">
      <c r="B23" s="40">
        <v>5350508654.63</v>
      </c>
    </row>
    <row r="24" ht="12.75">
      <c r="B24" s="40">
        <v>72760000</v>
      </c>
    </row>
    <row r="25" ht="12.75">
      <c r="B25" s="40">
        <v>114039183.86</v>
      </c>
    </row>
    <row r="26" ht="12.75">
      <c r="B26" s="40">
        <v>136400</v>
      </c>
    </row>
    <row r="27" ht="12.75">
      <c r="B27" s="40">
        <v>2100000</v>
      </c>
    </row>
    <row r="28" ht="12.75">
      <c r="B28" s="40">
        <v>20344630.17</v>
      </c>
    </row>
    <row r="29" ht="12.75">
      <c r="B29" s="40">
        <v>1050000</v>
      </c>
    </row>
    <row r="30" ht="12.75">
      <c r="B30" s="40">
        <v>4316792.24</v>
      </c>
    </row>
    <row r="31" ht="12.75">
      <c r="B31" s="40">
        <v>950337.55</v>
      </c>
    </row>
    <row r="32" ht="12.75">
      <c r="B32" s="40">
        <v>2189293.61</v>
      </c>
    </row>
    <row r="33" ht="12.75">
      <c r="B33" s="40">
        <v>2562277.64</v>
      </c>
    </row>
    <row r="34" ht="12.75">
      <c r="B34" s="40">
        <v>222336.03</v>
      </c>
    </row>
    <row r="35" ht="12.75">
      <c r="B35" s="40">
        <v>708770923.51</v>
      </c>
    </row>
    <row r="36" ht="12.75">
      <c r="B36" s="40">
        <v>2229200000</v>
      </c>
    </row>
    <row r="37" ht="12.75">
      <c r="B37" s="40">
        <v>2931000</v>
      </c>
    </row>
    <row r="38" ht="12.75">
      <c r="B38" s="40">
        <v>9063000</v>
      </c>
    </row>
    <row r="39" ht="12.75">
      <c r="B39" s="40">
        <v>186093.75</v>
      </c>
    </row>
    <row r="40" ht="12.75">
      <c r="B40" s="40">
        <v>637557.62</v>
      </c>
    </row>
    <row r="41" ht="12.75">
      <c r="B41" s="40">
        <v>3502929.5</v>
      </c>
    </row>
    <row r="42" ht="12.75">
      <c r="B42" s="40">
        <v>396000</v>
      </c>
    </row>
    <row r="43" ht="12.75">
      <c r="B43" s="40">
        <v>1652385.54</v>
      </c>
    </row>
    <row r="44" ht="12.75">
      <c r="B44" s="40">
        <v>497874</v>
      </c>
    </row>
    <row r="45" ht="12.75">
      <c r="B45" s="40">
        <v>7005166.92</v>
      </c>
    </row>
    <row r="46" ht="12.75">
      <c r="B46" s="40">
        <v>11200644.73</v>
      </c>
    </row>
    <row r="47" ht="12.75">
      <c r="B47" s="40">
        <v>1290250</v>
      </c>
    </row>
    <row r="48" ht="12.75">
      <c r="B48" s="40">
        <v>600462.5</v>
      </c>
    </row>
    <row r="49" ht="12.75">
      <c r="B49" s="40">
        <v>169054317.37</v>
      </c>
    </row>
    <row r="50" ht="12.75">
      <c r="B50" s="40">
        <v>482046.88</v>
      </c>
    </row>
    <row r="51" ht="12.75">
      <c r="B51" s="40">
        <v>433164298.14</v>
      </c>
    </row>
    <row r="52" ht="12.75">
      <c r="B52" s="40">
        <v>2899383.45</v>
      </c>
    </row>
    <row r="53" ht="12.75">
      <c r="B53" s="40">
        <v>475602290.43</v>
      </c>
    </row>
    <row r="54" ht="12.75">
      <c r="B54" s="40">
        <v>2145755405.44</v>
      </c>
    </row>
    <row r="55" ht="12.75">
      <c r="B55" s="78">
        <v>5639161.8</v>
      </c>
    </row>
    <row r="56" ht="12.75">
      <c r="B56" s="40">
        <f>SUM(B9:B55)</f>
        <v>20041124606.79</v>
      </c>
    </row>
    <row r="59" ht="12.75">
      <c r="B59" s="40">
        <v>20041124608.79</v>
      </c>
    </row>
    <row r="60" ht="12.75">
      <c r="B60" s="40">
        <f>B59-B56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7"/>
  <sheetViews>
    <sheetView workbookViewId="0" topLeftCell="A1">
      <selection activeCell="A7" sqref="A7"/>
    </sheetView>
  </sheetViews>
  <sheetFormatPr defaultColWidth="9.00390625" defaultRowHeight="21" customHeight="1"/>
  <cols>
    <col min="1" max="1" width="12.50390625" style="55" customWidth="1"/>
    <col min="2" max="5" width="18.125" style="55" bestFit="1" customWidth="1"/>
    <col min="6" max="6" width="16.375" style="54" bestFit="1" customWidth="1"/>
    <col min="7" max="7" width="18.125" style="54" bestFit="1" customWidth="1"/>
    <col min="8" max="8" width="16.375" style="55" bestFit="1" customWidth="1"/>
    <col min="9" max="9" width="19.875" style="54" customWidth="1"/>
    <col min="10" max="10" width="11.625" style="54" bestFit="1" customWidth="1"/>
    <col min="11" max="16384" width="9.375" style="54" customWidth="1"/>
  </cols>
  <sheetData>
    <row r="1" spans="1:9" s="52" customFormat="1" ht="27" customHeight="1">
      <c r="A1" s="56"/>
      <c r="B1" s="56" t="s">
        <v>32</v>
      </c>
      <c r="C1" s="56" t="s">
        <v>33</v>
      </c>
      <c r="D1" s="56" t="s">
        <v>35</v>
      </c>
      <c r="E1" s="56" t="s">
        <v>36</v>
      </c>
      <c r="F1" s="57" t="s">
        <v>38</v>
      </c>
      <c r="G1" s="57" t="s">
        <v>34</v>
      </c>
      <c r="H1" s="56" t="s">
        <v>37</v>
      </c>
      <c r="I1" s="57" t="s">
        <v>39</v>
      </c>
    </row>
    <row r="2" spans="1:9" s="52" customFormat="1" ht="27" customHeight="1">
      <c r="A2" s="56" t="s">
        <v>42</v>
      </c>
      <c r="B2" s="56">
        <v>4219112240.15</v>
      </c>
      <c r="C2" s="56">
        <v>5363542430</v>
      </c>
      <c r="D2" s="56">
        <v>1339005732.4</v>
      </c>
      <c r="E2" s="56">
        <v>1432751881.48</v>
      </c>
      <c r="F2" s="56">
        <v>603448347.02</v>
      </c>
      <c r="G2" s="56">
        <v>1752229004.83</v>
      </c>
      <c r="H2" s="56">
        <v>233588060.88</v>
      </c>
      <c r="I2" s="58">
        <f aca="true" t="shared" si="0" ref="I2:I7">SUM(B2:H2)</f>
        <v>14943677696.759998</v>
      </c>
    </row>
    <row r="3" spans="1:10" s="52" customFormat="1" ht="27" customHeight="1">
      <c r="A3" s="56" t="s">
        <v>40</v>
      </c>
      <c r="B3" s="56">
        <v>-98969132.65</v>
      </c>
      <c r="C3" s="56">
        <f>-183532000-1090693070</f>
        <v>-1274225070</v>
      </c>
      <c r="D3" s="56">
        <f>-378338.63-282500000</f>
        <v>-282878338.63</v>
      </c>
      <c r="E3" s="56">
        <f>-E10</f>
        <v>-217815131.38</v>
      </c>
      <c r="F3" s="57"/>
      <c r="G3" s="56">
        <v>-7656136.97</v>
      </c>
      <c r="H3" s="56">
        <f>-H10</f>
        <v>-5276352.48</v>
      </c>
      <c r="I3" s="58">
        <f t="shared" si="0"/>
        <v>-1886820162.1100004</v>
      </c>
      <c r="J3" s="42"/>
    </row>
    <row r="4" spans="1:9" s="52" customFormat="1" ht="27" customHeight="1">
      <c r="A4" s="56" t="s">
        <v>41</v>
      </c>
      <c r="B4" s="56">
        <v>524430650</v>
      </c>
      <c r="C4" s="56">
        <v>1359322342</v>
      </c>
      <c r="D4" s="56">
        <f>412710585.94+400000000+175312.66+0.05</f>
        <v>812885898.65</v>
      </c>
      <c r="E4" s="56">
        <f>540000000+555000000</f>
        <v>1095000000</v>
      </c>
      <c r="F4" s="56">
        <v>1031276</v>
      </c>
      <c r="G4" s="56"/>
      <c r="H4" s="56">
        <v>61047180.2</v>
      </c>
      <c r="I4" s="58">
        <f t="shared" si="0"/>
        <v>3853717346.85</v>
      </c>
    </row>
    <row r="5" spans="1:9" s="52" customFormat="1" ht="27" customHeight="1">
      <c r="A5" s="56" t="s">
        <v>43</v>
      </c>
      <c r="B5" s="56">
        <f aca="true" t="shared" si="1" ref="B5:H5">SUM(B2:B4)</f>
        <v>4644573757.5</v>
      </c>
      <c r="C5" s="56">
        <f t="shared" si="1"/>
        <v>5448639702</v>
      </c>
      <c r="D5" s="56">
        <f t="shared" si="1"/>
        <v>1869013292.42</v>
      </c>
      <c r="E5" s="56">
        <f t="shared" si="1"/>
        <v>2309936750.1</v>
      </c>
      <c r="F5" s="56">
        <f t="shared" si="1"/>
        <v>604479623.02</v>
      </c>
      <c r="G5" s="56">
        <f t="shared" si="1"/>
        <v>1744572867.86</v>
      </c>
      <c r="H5" s="56">
        <f t="shared" si="1"/>
        <v>289358888.6</v>
      </c>
      <c r="I5" s="58">
        <f t="shared" si="0"/>
        <v>16910574881.500002</v>
      </c>
    </row>
    <row r="6" spans="1:9" ht="27" customHeight="1">
      <c r="A6" s="56" t="s">
        <v>30</v>
      </c>
      <c r="B6" s="59">
        <v>4644573757.5</v>
      </c>
      <c r="C6" s="59">
        <v>5448639702</v>
      </c>
      <c r="D6" s="59">
        <v>1869013292.42</v>
      </c>
      <c r="E6" s="59">
        <f>1440930769.54+869005980.25</f>
        <v>2309936749.79</v>
      </c>
      <c r="F6" s="59">
        <v>604829848.1</v>
      </c>
      <c r="G6" s="59">
        <v>1744572867.86</v>
      </c>
      <c r="H6" s="59">
        <v>289229602.01</v>
      </c>
      <c r="I6" s="60">
        <f t="shared" si="0"/>
        <v>16910795819.68</v>
      </c>
    </row>
    <row r="7" spans="1:9" ht="27" customHeight="1">
      <c r="A7" s="61" t="s">
        <v>31</v>
      </c>
      <c r="B7" s="61">
        <f aca="true" t="shared" si="2" ref="B7:H7">B5-B6</f>
        <v>0</v>
      </c>
      <c r="C7" s="61">
        <f t="shared" si="2"/>
        <v>0</v>
      </c>
      <c r="D7" s="61">
        <f t="shared" si="2"/>
        <v>0</v>
      </c>
      <c r="E7" s="61">
        <f t="shared" si="2"/>
        <v>0.309999942779541</v>
      </c>
      <c r="F7" s="61">
        <f t="shared" si="2"/>
        <v>-350225.0800000429</v>
      </c>
      <c r="G7" s="61">
        <f t="shared" si="2"/>
        <v>0</v>
      </c>
      <c r="H7" s="61">
        <f t="shared" si="2"/>
        <v>129286.59000003338</v>
      </c>
      <c r="I7" s="60">
        <f t="shared" si="0"/>
        <v>-220938.18000006676</v>
      </c>
    </row>
    <row r="8" spans="1:9" ht="27" customHeight="1">
      <c r="A8" s="61"/>
      <c r="B8" s="61"/>
      <c r="C8" s="61"/>
      <c r="D8" s="61"/>
      <c r="E8" s="61"/>
      <c r="F8" s="62"/>
      <c r="G8" s="62"/>
      <c r="H8" s="61"/>
      <c r="I8" s="62"/>
    </row>
    <row r="9" ht="21" customHeight="1">
      <c r="B9" s="55">
        <v>43845000</v>
      </c>
    </row>
    <row r="10" spans="2:8" ht="21" customHeight="1">
      <c r="B10" s="55">
        <v>84990000</v>
      </c>
      <c r="E10" s="55">
        <f>87623087.85+293900+2100000+16923076.9+84000000+2100000+21795511.09+1453770.85+1525784.69</f>
        <v>217815131.38</v>
      </c>
      <c r="H10" s="55">
        <f>1581159.96+2429268+208425+1057499.52</f>
        <v>5276352.48</v>
      </c>
    </row>
    <row r="11" ht="21" customHeight="1">
      <c r="B11" s="55">
        <v>395595650</v>
      </c>
    </row>
    <row r="12" ht="21" customHeight="1">
      <c r="B12" s="55">
        <f>SUM(B9:B11)</f>
        <v>524430650</v>
      </c>
    </row>
    <row r="14" spans="2:3" ht="21" customHeight="1">
      <c r="B14" s="55">
        <v>31592000</v>
      </c>
      <c r="C14" s="55">
        <v>31482587.2</v>
      </c>
    </row>
    <row r="15" spans="2:4" ht="21" customHeight="1">
      <c r="B15" s="55">
        <v>71403000</v>
      </c>
      <c r="C15" s="55">
        <v>67486545.45</v>
      </c>
      <c r="D15" s="55">
        <f>B15-C15</f>
        <v>3916454.549999997</v>
      </c>
    </row>
    <row r="16" spans="2:3" ht="21" customHeight="1">
      <c r="B16" s="55">
        <f>SUM(B14:B15)</f>
        <v>102995000</v>
      </c>
      <c r="C16" s="55">
        <f>SUM(C14:C15)</f>
        <v>98969132.65</v>
      </c>
    </row>
    <row r="21" spans="4:8" ht="21" customHeight="1">
      <c r="D21" s="55">
        <v>252000000</v>
      </c>
      <c r="F21" s="55">
        <v>980150</v>
      </c>
      <c r="H21" s="55">
        <v>153107393.83</v>
      </c>
    </row>
    <row r="22" spans="4:8" ht="21" customHeight="1">
      <c r="D22" s="55">
        <v>155500000</v>
      </c>
      <c r="F22" s="55">
        <v>-629924.92</v>
      </c>
      <c r="H22" s="55">
        <v>-145451256.86</v>
      </c>
    </row>
    <row r="23" spans="4:8" ht="21" customHeight="1">
      <c r="D23" s="55">
        <v>200000000</v>
      </c>
      <c r="F23" s="55">
        <f>SUM(F21:F22)</f>
        <v>350225.07999999996</v>
      </c>
      <c r="H23" s="55">
        <f>SUM(H21:H22)</f>
        <v>7656136.969999999</v>
      </c>
    </row>
    <row r="24" spans="4:6" ht="21" customHeight="1">
      <c r="D24" s="55">
        <f>SUM(D21:D23)</f>
        <v>607500000</v>
      </c>
      <c r="F24" s="55"/>
    </row>
    <row r="25" spans="4:6" ht="21" customHeight="1">
      <c r="D25" s="55">
        <v>412710585.94</v>
      </c>
      <c r="E25" s="55">
        <f>SUM(D24:D25)</f>
        <v>1020210585.94</v>
      </c>
      <c r="F25" s="55">
        <v>4383812</v>
      </c>
    </row>
    <row r="26" spans="4:6" ht="21" customHeight="1">
      <c r="D26" s="55">
        <v>-282500000</v>
      </c>
      <c r="E26" s="55">
        <v>-282500000</v>
      </c>
      <c r="F26" s="55">
        <v>-3352536</v>
      </c>
    </row>
    <row r="27" spans="2:6" ht="21" customHeight="1">
      <c r="B27" s="55">
        <v>1905057.74</v>
      </c>
      <c r="E27" s="55">
        <f>SUM(E25:E26)</f>
        <v>737710585.94</v>
      </c>
      <c r="F27" s="55">
        <f>SUM(F25:F26)</f>
        <v>1031276</v>
      </c>
    </row>
    <row r="28" ht="21" customHeight="1">
      <c r="B28" s="55">
        <v>-2080370.4</v>
      </c>
    </row>
    <row r="30" spans="3:4" ht="21" customHeight="1">
      <c r="C30" s="63" t="s">
        <v>45</v>
      </c>
      <c r="D30" s="63" t="s">
        <v>46</v>
      </c>
    </row>
    <row r="31" spans="2:5" ht="21" customHeight="1">
      <c r="B31" s="55" t="s">
        <v>44</v>
      </c>
      <c r="C31" s="55">
        <v>26223339.26</v>
      </c>
      <c r="D31" s="55">
        <v>44591404.5</v>
      </c>
      <c r="E31" s="55">
        <f>D31-C31</f>
        <v>18368065.24</v>
      </c>
    </row>
    <row r="32" spans="2:5" ht="21" customHeight="1">
      <c r="B32" s="55" t="s">
        <v>47</v>
      </c>
      <c r="C32" s="55">
        <v>238899.09</v>
      </c>
      <c r="D32" s="55">
        <v>1777202.48</v>
      </c>
      <c r="E32" s="55">
        <f>D32-C32</f>
        <v>1538303.39</v>
      </c>
    </row>
    <row r="33" spans="2:5" ht="21" customHeight="1">
      <c r="B33" s="55" t="s">
        <v>48</v>
      </c>
      <c r="C33" s="55">
        <v>410237.77</v>
      </c>
      <c r="D33" s="55">
        <v>479846.22</v>
      </c>
      <c r="E33" s="55">
        <f>D33-C33</f>
        <v>69608.44999999995</v>
      </c>
    </row>
    <row r="34" spans="2:5" ht="21" customHeight="1">
      <c r="B34" s="55" t="s">
        <v>49</v>
      </c>
      <c r="D34" s="55">
        <v>156248.13</v>
      </c>
      <c r="E34" s="55">
        <f>D34-C34</f>
        <v>156248.13</v>
      </c>
    </row>
    <row r="35" spans="2:5" ht="21" customHeight="1">
      <c r="B35" s="55" t="s">
        <v>50</v>
      </c>
      <c r="C35" s="55">
        <v>825406.34</v>
      </c>
      <c r="D35" s="55">
        <v>5456545.3</v>
      </c>
      <c r="E35" s="55">
        <f aca="true" t="shared" si="3" ref="E35:E62">D35-C35</f>
        <v>4631138.96</v>
      </c>
    </row>
    <row r="36" spans="2:5" ht="21" customHeight="1">
      <c r="B36" s="55" t="s">
        <v>51</v>
      </c>
      <c r="C36" s="55">
        <v>1775476.98</v>
      </c>
      <c r="D36" s="55">
        <v>2473679.7</v>
      </c>
      <c r="E36" s="55">
        <f t="shared" si="3"/>
        <v>698202.7200000002</v>
      </c>
    </row>
    <row r="37" spans="2:5" ht="21" customHeight="1">
      <c r="B37" s="55" t="s">
        <v>52</v>
      </c>
      <c r="C37" s="55">
        <v>4993313.71</v>
      </c>
      <c r="D37" s="55">
        <v>6952028.82</v>
      </c>
      <c r="E37" s="55">
        <f t="shared" si="3"/>
        <v>1958715.1100000003</v>
      </c>
    </row>
    <row r="38" spans="2:5" ht="21" customHeight="1">
      <c r="B38" s="55" t="s">
        <v>53</v>
      </c>
      <c r="D38" s="55">
        <v>1529683.41</v>
      </c>
      <c r="E38" s="55">
        <f t="shared" si="3"/>
        <v>1529683.41</v>
      </c>
    </row>
    <row r="39" spans="2:5" ht="21" customHeight="1">
      <c r="B39" s="55" t="s">
        <v>54</v>
      </c>
      <c r="C39" s="55">
        <v>14156726.78</v>
      </c>
      <c r="D39" s="55">
        <v>14358090.77</v>
      </c>
      <c r="E39" s="55">
        <f t="shared" si="3"/>
        <v>201363.99000000022</v>
      </c>
    </row>
    <row r="40" spans="2:5" ht="21" customHeight="1">
      <c r="B40" s="55" t="s">
        <v>55</v>
      </c>
      <c r="C40" s="55">
        <v>1904513.67</v>
      </c>
      <c r="D40" s="55">
        <v>2366137.68</v>
      </c>
      <c r="E40" s="55">
        <f t="shared" si="3"/>
        <v>461624.01000000024</v>
      </c>
    </row>
    <row r="41" spans="2:5" ht="21" customHeight="1">
      <c r="B41" s="55" t="s">
        <v>56</v>
      </c>
      <c r="C41" s="55">
        <v>19760776.8</v>
      </c>
      <c r="D41" s="55">
        <v>20933450.09</v>
      </c>
      <c r="E41" s="55">
        <f t="shared" si="3"/>
        <v>1172673.289999999</v>
      </c>
    </row>
    <row r="42" spans="2:5" ht="21" customHeight="1">
      <c r="B42" s="55" t="s">
        <v>57</v>
      </c>
      <c r="C42" s="55">
        <v>653851.26</v>
      </c>
      <c r="D42" s="55">
        <v>658401.58</v>
      </c>
      <c r="E42" s="55">
        <f t="shared" si="3"/>
        <v>4550.319999999949</v>
      </c>
    </row>
    <row r="43" spans="2:5" ht="21" customHeight="1">
      <c r="B43" s="55" t="s">
        <v>58</v>
      </c>
      <c r="D43" s="55">
        <v>1321676.37</v>
      </c>
      <c r="E43" s="55">
        <f t="shared" si="3"/>
        <v>1321676.37</v>
      </c>
    </row>
    <row r="44" spans="2:5" ht="21" customHeight="1">
      <c r="B44" s="55" t="s">
        <v>59</v>
      </c>
      <c r="C44" s="55">
        <v>1037876</v>
      </c>
      <c r="D44" s="55">
        <v>1214117.66</v>
      </c>
      <c r="E44" s="55">
        <f t="shared" si="3"/>
        <v>176241.65999999992</v>
      </c>
    </row>
    <row r="45" spans="2:5" ht="21" customHeight="1">
      <c r="B45" s="55" t="s">
        <v>60</v>
      </c>
      <c r="C45" s="55">
        <v>1690882.53</v>
      </c>
      <c r="D45" s="55">
        <v>3121468.56</v>
      </c>
      <c r="E45" s="55">
        <f t="shared" si="3"/>
        <v>1430586.03</v>
      </c>
    </row>
    <row r="46" spans="2:5" ht="21" customHeight="1">
      <c r="B46" s="55" t="s">
        <v>61</v>
      </c>
      <c r="C46" s="55">
        <v>29446.75</v>
      </c>
      <c r="D46" s="55">
        <v>288951.25</v>
      </c>
      <c r="E46" s="55">
        <f t="shared" si="3"/>
        <v>259504.5</v>
      </c>
    </row>
    <row r="47" spans="2:5" ht="21" customHeight="1">
      <c r="B47" s="55" t="s">
        <v>62</v>
      </c>
      <c r="C47" s="55">
        <v>20003900</v>
      </c>
      <c r="D47" s="55">
        <v>22260244.17</v>
      </c>
      <c r="E47" s="55">
        <f t="shared" si="3"/>
        <v>2256344.170000002</v>
      </c>
    </row>
    <row r="48" spans="2:5" ht="21" customHeight="1">
      <c r="B48" s="55" t="s">
        <v>65</v>
      </c>
      <c r="C48" s="55">
        <v>1082602.56</v>
      </c>
      <c r="D48" s="55">
        <v>1182670.89</v>
      </c>
      <c r="E48" s="55">
        <f t="shared" si="3"/>
        <v>100068.32999999984</v>
      </c>
    </row>
    <row r="49" spans="2:5" ht="21" customHeight="1">
      <c r="B49" s="55" t="s">
        <v>63</v>
      </c>
      <c r="C49" s="55">
        <v>612041.14</v>
      </c>
      <c r="D49" s="55">
        <v>592344.31</v>
      </c>
      <c r="E49" s="55">
        <f t="shared" si="3"/>
        <v>-19696.829999999958</v>
      </c>
    </row>
    <row r="50" spans="2:6" ht="21" customHeight="1">
      <c r="B50" s="55" t="s">
        <v>64</v>
      </c>
      <c r="C50" s="55">
        <v>25125812.5</v>
      </c>
      <c r="D50" s="55">
        <v>23044909.3</v>
      </c>
      <c r="E50" s="55">
        <f t="shared" si="3"/>
        <v>-2080903.1999999993</v>
      </c>
      <c r="F50" s="53">
        <f>SUM(E49:E50)</f>
        <v>-2100600.0299999993</v>
      </c>
    </row>
    <row r="51" spans="2:5" ht="21" customHeight="1">
      <c r="B51" s="55" t="s">
        <v>66</v>
      </c>
      <c r="C51" s="55">
        <v>47677712.53</v>
      </c>
      <c r="D51" s="55">
        <v>59552486.31</v>
      </c>
      <c r="E51" s="55">
        <f t="shared" si="3"/>
        <v>11874773.780000001</v>
      </c>
    </row>
    <row r="52" spans="2:5" ht="21" customHeight="1">
      <c r="B52" s="55" t="s">
        <v>67</v>
      </c>
      <c r="C52" s="55">
        <v>4814738.2</v>
      </c>
      <c r="D52" s="55">
        <v>8910725.23</v>
      </c>
      <c r="E52" s="55">
        <f t="shared" si="3"/>
        <v>4095987.0300000003</v>
      </c>
    </row>
    <row r="53" spans="2:5" ht="21" customHeight="1">
      <c r="B53" s="55" t="s">
        <v>68</v>
      </c>
      <c r="C53" s="55">
        <v>43304596.16</v>
      </c>
      <c r="D53" s="55">
        <v>48741378.43</v>
      </c>
      <c r="E53" s="55">
        <f t="shared" si="3"/>
        <v>5436782.270000003</v>
      </c>
    </row>
    <row r="54" spans="3:5" ht="21" customHeight="1">
      <c r="C54" s="55">
        <v>966984.02</v>
      </c>
      <c r="D54" s="55">
        <v>966984.02</v>
      </c>
      <c r="E54" s="55">
        <f t="shared" si="3"/>
        <v>0</v>
      </c>
    </row>
    <row r="55" spans="3:5" ht="21" customHeight="1">
      <c r="C55" s="55">
        <v>409325.73</v>
      </c>
      <c r="D55" s="55">
        <v>409325.73</v>
      </c>
      <c r="E55" s="55">
        <f t="shared" si="3"/>
        <v>0</v>
      </c>
    </row>
    <row r="56" spans="3:5" ht="21" customHeight="1">
      <c r="C56" s="55">
        <v>3763972.75</v>
      </c>
      <c r="D56" s="55">
        <v>3763972.75</v>
      </c>
      <c r="E56" s="55">
        <f t="shared" si="3"/>
        <v>0</v>
      </c>
    </row>
    <row r="57" spans="3:5" ht="21" customHeight="1">
      <c r="C57" s="55">
        <v>185343.59</v>
      </c>
      <c r="D57" s="55">
        <v>185343.59</v>
      </c>
      <c r="E57" s="55">
        <f t="shared" si="3"/>
        <v>0</v>
      </c>
    </row>
    <row r="58" spans="3:5" ht="21" customHeight="1">
      <c r="C58" s="55">
        <v>545400</v>
      </c>
      <c r="D58" s="55">
        <v>545400</v>
      </c>
      <c r="E58" s="55">
        <f t="shared" si="3"/>
        <v>0</v>
      </c>
    </row>
    <row r="59" spans="3:5" ht="21" customHeight="1">
      <c r="C59" s="55">
        <v>478855.54</v>
      </c>
      <c r="D59" s="55">
        <v>478855.54</v>
      </c>
      <c r="E59" s="55">
        <f t="shared" si="3"/>
        <v>0</v>
      </c>
    </row>
    <row r="60" spans="3:5" ht="21" customHeight="1">
      <c r="C60" s="55">
        <v>90524.72</v>
      </c>
      <c r="D60" s="55">
        <v>90524.72</v>
      </c>
      <c r="E60" s="55">
        <f t="shared" si="3"/>
        <v>0</v>
      </c>
    </row>
    <row r="61" spans="3:5" ht="21" customHeight="1">
      <c r="C61" s="55">
        <v>10825504.5</v>
      </c>
      <c r="D61" s="55">
        <v>10825504.5</v>
      </c>
      <c r="E61" s="55">
        <f t="shared" si="3"/>
        <v>0</v>
      </c>
    </row>
    <row r="62" spans="3:5" ht="21" customHeight="1">
      <c r="C62" s="55">
        <f>SUM(C31:C61)</f>
        <v>233588060.88</v>
      </c>
      <c r="D62" s="55">
        <f>SUM(D31:D61)</f>
        <v>289229602.01000005</v>
      </c>
      <c r="E62" s="55">
        <f t="shared" si="3"/>
        <v>55641541.130000055</v>
      </c>
    </row>
    <row r="64" ht="21" customHeight="1">
      <c r="E64" s="55">
        <v>61047180.2</v>
      </c>
    </row>
    <row r="65" ht="21" customHeight="1">
      <c r="E65" s="55">
        <f>1581159.96+2429268+208425+1057499.52</f>
        <v>5276352.48</v>
      </c>
    </row>
    <row r="66" ht="21" customHeight="1">
      <c r="E66" s="55">
        <f>E64-E65</f>
        <v>55770827.72</v>
      </c>
    </row>
    <row r="67" ht="21" customHeight="1">
      <c r="E67" s="55">
        <f>E62-E66</f>
        <v>-129286.58999994397</v>
      </c>
    </row>
  </sheetData>
  <printOptions horizontalCentered="1"/>
  <pageMargins left="0.2362204724409449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58"/>
  <sheetViews>
    <sheetView workbookViewId="0" topLeftCell="A1">
      <selection activeCell="E8" sqref="E8"/>
    </sheetView>
  </sheetViews>
  <sheetFormatPr defaultColWidth="9.00390625" defaultRowHeight="12.75"/>
  <cols>
    <col min="1" max="1" width="15.125" style="0" customWidth="1"/>
    <col min="2" max="2" width="17.625" style="0" customWidth="1"/>
    <col min="3" max="3" width="16.625" style="0" customWidth="1"/>
    <col min="4" max="4" width="17.00390625" style="0" customWidth="1"/>
    <col min="5" max="5" width="19.00390625" style="40" customWidth="1"/>
    <col min="6" max="6" width="13.625" style="0" bestFit="1" customWidth="1"/>
  </cols>
  <sheetData>
    <row r="1" ht="12.75">
      <c r="A1" t="s">
        <v>74</v>
      </c>
    </row>
    <row r="2" spans="3:5" ht="12.75">
      <c r="C2" t="s">
        <v>73</v>
      </c>
      <c r="D2" t="s">
        <v>75</v>
      </c>
      <c r="E2" s="40">
        <v>100935674.4</v>
      </c>
    </row>
    <row r="3" spans="2:5" ht="12.75">
      <c r="B3" t="s">
        <v>42</v>
      </c>
      <c r="C3" s="40">
        <v>943213988.53</v>
      </c>
      <c r="D3" s="40">
        <v>1032168018.81</v>
      </c>
      <c r="E3" s="40">
        <v>1177789038</v>
      </c>
    </row>
    <row r="4" ht="12.75">
      <c r="E4" s="40">
        <v>382200000</v>
      </c>
    </row>
    <row r="5" spans="2:7" ht="12.75">
      <c r="B5" t="s">
        <v>69</v>
      </c>
      <c r="C5" s="40">
        <v>88855027.28</v>
      </c>
      <c r="D5" s="40">
        <v>125591088.07</v>
      </c>
      <c r="E5" s="40">
        <v>120000000</v>
      </c>
      <c r="F5" s="40"/>
      <c r="G5" s="40"/>
    </row>
    <row r="6" spans="3:7" ht="12.75">
      <c r="C6" s="40">
        <v>203573047.05</v>
      </c>
      <c r="D6" s="40">
        <v>243664262.41</v>
      </c>
      <c r="F6" s="40"/>
      <c r="G6" s="40"/>
    </row>
    <row r="7" spans="3:7" ht="12.75">
      <c r="C7" s="40">
        <v>51180889.54</v>
      </c>
      <c r="D7" s="40">
        <v>49906070.86</v>
      </c>
      <c r="E7" s="40">
        <f>SUM(E2:E6)</f>
        <v>1780924712.4</v>
      </c>
      <c r="F7" s="40"/>
      <c r="G7" s="40"/>
    </row>
    <row r="8" spans="3:7" ht="12.75">
      <c r="C8" s="40">
        <v>2867171.42</v>
      </c>
      <c r="D8" s="40">
        <v>1088793996.63</v>
      </c>
      <c r="F8" s="40"/>
      <c r="G8" s="40"/>
    </row>
    <row r="9" spans="3:7" ht="12.75">
      <c r="C9" s="40">
        <v>0.1</v>
      </c>
      <c r="D9" s="40"/>
      <c r="F9" s="40"/>
      <c r="G9" s="40"/>
    </row>
    <row r="10" spans="3:7" ht="12.75">
      <c r="C10" s="40"/>
      <c r="D10" s="40"/>
      <c r="F10" s="40"/>
      <c r="G10" s="40"/>
    </row>
    <row r="11" spans="3:7" ht="12.75">
      <c r="C11" s="40">
        <f>SUM(C5:C10)</f>
        <v>346476135.3900001</v>
      </c>
      <c r="D11" s="40">
        <f>SUM(D5:D10)</f>
        <v>1507955417.9700003</v>
      </c>
      <c r="F11" s="40"/>
      <c r="G11" s="40"/>
    </row>
    <row r="12" spans="3:7" ht="12.75">
      <c r="C12" s="40"/>
      <c r="D12" s="40"/>
      <c r="F12" s="40"/>
      <c r="G12" s="40"/>
    </row>
    <row r="13" spans="2:7" ht="12.75">
      <c r="B13" t="s">
        <v>70</v>
      </c>
      <c r="C13" s="40">
        <v>58092492.8</v>
      </c>
      <c r="D13" s="40">
        <v>70977451.01</v>
      </c>
      <c r="F13" s="40"/>
      <c r="G13" s="40"/>
    </row>
    <row r="14" spans="3:7" ht="12.75">
      <c r="C14" s="40">
        <v>195251487.89</v>
      </c>
      <c r="D14" s="40">
        <v>290946466.52</v>
      </c>
      <c r="F14" s="40"/>
      <c r="G14" s="40"/>
    </row>
    <row r="15" spans="3:7" ht="12.75">
      <c r="C15" s="6">
        <v>4178124.42</v>
      </c>
      <c r="D15" s="6">
        <v>5539611.83</v>
      </c>
      <c r="F15" s="40"/>
      <c r="G15" s="40"/>
    </row>
    <row r="16" spans="3:7" ht="12.75">
      <c r="C16" s="35"/>
      <c r="D16" s="35">
        <v>250000000</v>
      </c>
      <c r="F16" s="40"/>
      <c r="G16" s="40"/>
    </row>
    <row r="17" spans="3:7" ht="12.75">
      <c r="C17" s="35"/>
      <c r="D17" s="35">
        <v>2867171.42</v>
      </c>
      <c r="F17" s="40"/>
      <c r="G17" s="40"/>
    </row>
    <row r="18" spans="3:7" ht="12.75">
      <c r="C18" s="35"/>
      <c r="D18" s="35">
        <v>9894037.63</v>
      </c>
      <c r="F18" s="40"/>
      <c r="G18" s="40"/>
    </row>
    <row r="19" spans="3:7" ht="12.75">
      <c r="C19" s="35"/>
      <c r="D19" s="35">
        <v>59273559.11</v>
      </c>
      <c r="F19" s="40"/>
      <c r="G19" s="40"/>
    </row>
    <row r="20" spans="3:7" ht="12.75">
      <c r="C20" s="40">
        <f>SUM(C13:C19)</f>
        <v>257522105.10999998</v>
      </c>
      <c r="D20" s="40">
        <f>SUM(D13:D19)</f>
        <v>689498297.5199999</v>
      </c>
      <c r="F20" s="40"/>
      <c r="G20" s="40"/>
    </row>
    <row r="21" spans="3:7" ht="12.75">
      <c r="C21" s="40"/>
      <c r="D21" s="40"/>
      <c r="F21" s="40"/>
      <c r="G21" s="40"/>
    </row>
    <row r="22" spans="2:7" ht="12.75">
      <c r="B22" t="s">
        <v>71</v>
      </c>
      <c r="C22" s="40">
        <f>C3+C11-C20</f>
        <v>1032168018.8100001</v>
      </c>
      <c r="D22" s="40">
        <f>D3+D11-D20</f>
        <v>1850625139.2600002</v>
      </c>
      <c r="F22" s="40"/>
      <c r="G22" s="40"/>
    </row>
    <row r="23" spans="2:7" ht="12.75">
      <c r="B23" t="s">
        <v>72</v>
      </c>
      <c r="C23" s="40">
        <v>1032168018.81</v>
      </c>
      <c r="D23" s="40">
        <v>1850625139.26</v>
      </c>
      <c r="F23" s="40"/>
      <c r="G23" s="40"/>
    </row>
    <row r="24" spans="2:7" ht="12.75">
      <c r="B24" t="s">
        <v>31</v>
      </c>
      <c r="C24" s="40">
        <f>C22-C23</f>
        <v>0</v>
      </c>
      <c r="D24" s="40">
        <f>D22-D23</f>
        <v>0</v>
      </c>
      <c r="E24" s="40">
        <f>14526.06-14525.96</f>
        <v>0.1000000000003638</v>
      </c>
      <c r="F24" s="40"/>
      <c r="G24" s="40"/>
    </row>
    <row r="25" spans="3:7" ht="12.75">
      <c r="C25" s="40"/>
      <c r="D25" s="40"/>
      <c r="F25" s="40"/>
      <c r="G25" s="40"/>
    </row>
    <row r="26" spans="3:7" ht="12.75">
      <c r="C26" s="40"/>
      <c r="D26" s="40"/>
      <c r="F26" s="40"/>
      <c r="G26" s="40"/>
    </row>
    <row r="27" spans="3:4" ht="12.75">
      <c r="C27" s="40">
        <v>1012460540</v>
      </c>
      <c r="D27" s="40">
        <v>916575362</v>
      </c>
    </row>
    <row r="28" spans="3:4" ht="12.75">
      <c r="C28" s="40">
        <v>16188105.14</v>
      </c>
      <c r="D28" s="40">
        <v>26005329.72</v>
      </c>
    </row>
    <row r="29" spans="3:4" ht="12.75">
      <c r="C29" s="40">
        <v>652202.27</v>
      </c>
      <c r="D29" s="40">
        <v>633296.83</v>
      </c>
    </row>
    <row r="30" spans="3:4" ht="12.75">
      <c r="C30" s="40">
        <f>SUM(C26:C29)</f>
        <v>1029300847.41</v>
      </c>
      <c r="D30" s="40">
        <f>SUM(D26:D29)</f>
        <v>943213988.5500001</v>
      </c>
    </row>
    <row r="31" spans="3:4" ht="12.75">
      <c r="C31" s="7">
        <f>C23-C30</f>
        <v>2867171.399999976</v>
      </c>
      <c r="D31" s="7">
        <f>D22-D30</f>
        <v>907411150.7100002</v>
      </c>
    </row>
    <row r="36" spans="1:4" ht="12.75">
      <c r="A36" s="66" t="s">
        <v>76</v>
      </c>
      <c r="B36" s="67"/>
      <c r="C36" s="67"/>
      <c r="D36" s="68"/>
    </row>
    <row r="37" spans="1:4" ht="12.75">
      <c r="A37" s="69">
        <v>55973984.33</v>
      </c>
      <c r="B37" s="70"/>
      <c r="C37" s="70"/>
      <c r="D37" s="71"/>
    </row>
    <row r="38" spans="1:4" ht="12.75">
      <c r="A38" s="69"/>
      <c r="B38" s="72">
        <v>132471860.76</v>
      </c>
      <c r="C38" s="70"/>
      <c r="D38" s="71"/>
    </row>
    <row r="39" spans="1:4" ht="12.75">
      <c r="A39" s="69"/>
      <c r="B39" s="70"/>
      <c r="C39" s="72">
        <v>-129972851.09</v>
      </c>
      <c r="D39" s="71"/>
    </row>
    <row r="40" spans="1:4" ht="12.75">
      <c r="A40" s="69"/>
      <c r="B40" s="70"/>
      <c r="C40" s="72">
        <v>-392065.1</v>
      </c>
      <c r="D40" s="71"/>
    </row>
    <row r="41" spans="1:4" ht="12.75">
      <c r="A41" s="69"/>
      <c r="B41" s="72">
        <v>3366.2</v>
      </c>
      <c r="C41" s="72">
        <v>1962661.3</v>
      </c>
      <c r="D41" s="71"/>
    </row>
    <row r="42" spans="1:4" ht="12.75">
      <c r="A42" s="69"/>
      <c r="B42" s="72">
        <v>2301.16</v>
      </c>
      <c r="C42" s="70"/>
      <c r="D42" s="71"/>
    </row>
    <row r="43" spans="1:4" ht="12.75">
      <c r="A43" s="69"/>
      <c r="B43" s="72">
        <v>-104.16</v>
      </c>
      <c r="C43" s="70"/>
      <c r="D43" s="71"/>
    </row>
    <row r="44" spans="1:4" ht="12.75">
      <c r="A44" s="69"/>
      <c r="B44" s="70"/>
      <c r="C44" s="72">
        <v>-2061</v>
      </c>
      <c r="D44" s="71"/>
    </row>
    <row r="45" spans="1:4" ht="12.75">
      <c r="A45" s="69">
        <f>SUM(A37:A44)</f>
        <v>55973984.33</v>
      </c>
      <c r="B45" s="72">
        <f>SUM(B37:B44)</f>
        <v>132477423.96000001</v>
      </c>
      <c r="C45" s="72">
        <f>SUM(C37:C44)</f>
        <v>-128404315.89</v>
      </c>
      <c r="D45" s="73">
        <f>SUM(A45:C45)</f>
        <v>60047092.40000002</v>
      </c>
    </row>
    <row r="46" spans="1:4" ht="12.75">
      <c r="A46" s="74"/>
      <c r="B46" s="75"/>
      <c r="C46" s="75"/>
      <c r="D46" s="76"/>
    </row>
    <row r="48" spans="1:4" ht="12.75">
      <c r="A48" s="66" t="s">
        <v>77</v>
      </c>
      <c r="B48" s="67"/>
      <c r="C48" s="67"/>
      <c r="D48" s="68"/>
    </row>
    <row r="49" spans="1:4" ht="12.75">
      <c r="A49" s="69">
        <v>60047092.4</v>
      </c>
      <c r="B49" s="70"/>
      <c r="C49" s="70"/>
      <c r="D49" s="71"/>
    </row>
    <row r="50" spans="1:4" ht="12.75">
      <c r="A50" s="69"/>
      <c r="B50" s="72">
        <v>178805085.9</v>
      </c>
      <c r="C50" s="70"/>
      <c r="D50" s="71"/>
    </row>
    <row r="51" spans="1:4" ht="12.75">
      <c r="A51" s="69"/>
      <c r="B51" s="70"/>
      <c r="C51" s="72">
        <v>-168936344.51</v>
      </c>
      <c r="D51" s="71"/>
    </row>
    <row r="52" spans="1:4" ht="12.75">
      <c r="A52" s="69"/>
      <c r="B52" s="72">
        <v>10516.68</v>
      </c>
      <c r="C52" s="72">
        <v>636488.4</v>
      </c>
      <c r="D52" s="71"/>
    </row>
    <row r="53" spans="1:4" ht="12.75">
      <c r="A53" s="69"/>
      <c r="C53" s="72">
        <v>-1962661.3</v>
      </c>
      <c r="D53" s="71"/>
    </row>
    <row r="54" spans="1:4" ht="12.75">
      <c r="A54" s="69"/>
      <c r="B54" s="72">
        <v>1661.6</v>
      </c>
      <c r="C54" s="72">
        <v>-3366.2</v>
      </c>
      <c r="D54" s="71"/>
    </row>
    <row r="55" spans="1:4" ht="12.75">
      <c r="A55" s="69"/>
      <c r="B55" s="72">
        <v>104.16</v>
      </c>
      <c r="C55" s="70"/>
      <c r="D55" s="71"/>
    </row>
    <row r="56" spans="1:4" ht="12.75">
      <c r="A56" s="69"/>
      <c r="B56" s="70">
        <v>-109.16</v>
      </c>
      <c r="C56" s="72"/>
      <c r="D56" s="71"/>
    </row>
    <row r="57" spans="1:5" ht="12.75">
      <c r="A57" s="69">
        <f>SUM(A49:A56)</f>
        <v>60047092.4</v>
      </c>
      <c r="B57" s="72">
        <f>SUM(B49:B56)</f>
        <v>178817259.18</v>
      </c>
      <c r="C57" s="72">
        <f>SUM(C49:C56)</f>
        <v>-170265883.60999998</v>
      </c>
      <c r="D57" s="73">
        <f>SUM(A57:C57)</f>
        <v>68598467.97000003</v>
      </c>
      <c r="E57" s="40">
        <v>68598467.97</v>
      </c>
    </row>
    <row r="58" spans="1:5" ht="12.75">
      <c r="A58" s="74"/>
      <c r="B58" s="75"/>
      <c r="C58" s="75"/>
      <c r="D58" s="76"/>
      <c r="E58" s="40">
        <f>E57-D57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6"/>
  <sheetViews>
    <sheetView defaultGridColor="0" colorId="0" workbookViewId="0" topLeftCell="A1">
      <pane xSplit="2" ySplit="7" topLeftCell="C10" activePane="bottomRight" state="split"/>
      <selection pane="topLeft" activeCell="A1" sqref="A1"/>
      <selection pane="topRight" activeCell="C1" sqref="C1"/>
      <selection pane="bottomLeft" activeCell="A8" sqref="A8"/>
      <selection pane="bottomRight" activeCell="A14" sqref="A14"/>
    </sheetView>
  </sheetViews>
  <sheetFormatPr defaultColWidth="9.00390625" defaultRowHeight="12.75"/>
  <cols>
    <col min="1" max="1" width="3.875" style="0" customWidth="1"/>
    <col min="2" max="2" width="35.375" style="0" customWidth="1"/>
    <col min="3" max="3" width="18.375" style="0" customWidth="1"/>
    <col min="4" max="4" width="19.875" style="0" customWidth="1"/>
    <col min="5" max="5" width="16.875" style="0" customWidth="1"/>
    <col min="6" max="6" width="14.375" style="0" hidden="1" customWidth="1"/>
    <col min="7" max="7" width="13.875" style="0" hidden="1" customWidth="1"/>
    <col min="8" max="8" width="18.625" style="0" customWidth="1"/>
    <col min="9" max="9" width="17.875" style="0" customWidth="1"/>
    <col min="10" max="10" width="16.00390625" style="0" customWidth="1"/>
    <col min="11" max="11" width="18.375" style="0" customWidth="1"/>
  </cols>
  <sheetData>
    <row r="1" spans="9:10" ht="19.5" customHeight="1" thickBot="1" thickTop="1">
      <c r="I1" s="38" t="s">
        <v>78</v>
      </c>
      <c r="J1" s="39"/>
    </row>
    <row r="2" spans="9:10" ht="19.5" customHeight="1" thickTop="1">
      <c r="I2" s="13"/>
      <c r="J2" s="11"/>
    </row>
    <row r="3" spans="2:10" ht="15.75">
      <c r="B3" s="15" t="s">
        <v>79</v>
      </c>
      <c r="C3" s="12"/>
      <c r="D3" s="12"/>
      <c r="E3" s="12"/>
      <c r="F3" s="12"/>
      <c r="G3" s="12"/>
      <c r="H3" s="12"/>
      <c r="I3" s="12"/>
      <c r="J3" s="12"/>
    </row>
    <row r="4" spans="2:10" ht="12.75">
      <c r="B4" s="20"/>
      <c r="C4" s="20"/>
      <c r="D4" s="20"/>
      <c r="E4" s="20"/>
      <c r="F4" s="21" t="s">
        <v>0</v>
      </c>
      <c r="G4" s="21" t="s">
        <v>1</v>
      </c>
      <c r="H4" s="22"/>
      <c r="I4" s="22" t="s">
        <v>2</v>
      </c>
      <c r="J4" s="23"/>
    </row>
    <row r="5" spans="2:10" ht="12.75">
      <c r="B5" s="24" t="s">
        <v>3</v>
      </c>
      <c r="C5" s="24" t="s">
        <v>4</v>
      </c>
      <c r="D5" s="31" t="s">
        <v>0</v>
      </c>
      <c r="E5" s="31" t="s">
        <v>1</v>
      </c>
      <c r="F5" s="24" t="s">
        <v>5</v>
      </c>
      <c r="G5" s="24" t="s">
        <v>6</v>
      </c>
      <c r="H5" s="24" t="s">
        <v>7</v>
      </c>
      <c r="I5" s="24" t="s">
        <v>8</v>
      </c>
      <c r="J5" s="25" t="s">
        <v>9</v>
      </c>
    </row>
    <row r="6" spans="1:10" s="1" customFormat="1" ht="12.75">
      <c r="A6" s="34"/>
      <c r="B6" s="26"/>
      <c r="C6" s="30" t="s">
        <v>80</v>
      </c>
      <c r="D6" s="27" t="s">
        <v>10</v>
      </c>
      <c r="E6" s="27" t="s">
        <v>11</v>
      </c>
      <c r="F6" s="27" t="s">
        <v>12</v>
      </c>
      <c r="G6" s="27" t="s">
        <v>12</v>
      </c>
      <c r="H6" s="30" t="s">
        <v>81</v>
      </c>
      <c r="I6" s="27" t="s">
        <v>13</v>
      </c>
      <c r="J6" s="28"/>
    </row>
    <row r="7" spans="2:10" ht="12.75">
      <c r="B7" s="5"/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4" t="s">
        <v>14</v>
      </c>
    </row>
    <row r="8" spans="2:11" ht="19.5" customHeight="1">
      <c r="B8" s="5" t="s">
        <v>15</v>
      </c>
      <c r="C8" s="6">
        <v>10641577.55</v>
      </c>
      <c r="D8" s="6">
        <f>57378.87+1400+145522.33+126000+3442359.5</f>
        <v>3772660.7</v>
      </c>
      <c r="E8" s="6">
        <f>176609.45+2995913.7+1400212.51</f>
        <v>4572735.66</v>
      </c>
      <c r="F8" s="6"/>
      <c r="G8" s="6"/>
      <c r="H8" s="6">
        <f>SUM(C8+D8-E8+F8)</f>
        <v>9841502.59</v>
      </c>
      <c r="I8" s="6"/>
      <c r="J8" s="42">
        <f aca="true" t="shared" si="0" ref="J8:J15">SUM(H8-I8)</f>
        <v>9841502.59</v>
      </c>
      <c r="K8" t="s">
        <v>82</v>
      </c>
    </row>
    <row r="9" spans="2:11" ht="19.5" customHeight="1">
      <c r="B9" s="5" t="s">
        <v>16</v>
      </c>
      <c r="C9" s="6">
        <v>395813.38</v>
      </c>
      <c r="D9" s="6">
        <v>25081.63</v>
      </c>
      <c r="E9" s="6"/>
      <c r="F9" s="6"/>
      <c r="G9" s="6"/>
      <c r="H9" s="6">
        <f>SUM(C9+D9-E9+F9)</f>
        <v>420895.01</v>
      </c>
      <c r="I9" s="6">
        <v>420174.44</v>
      </c>
      <c r="J9" s="7">
        <f t="shared" si="0"/>
        <v>720.570000000007</v>
      </c>
      <c r="K9" t="s">
        <v>82</v>
      </c>
    </row>
    <row r="10" spans="2:11" ht="19.5" customHeight="1">
      <c r="B10" s="5" t="s">
        <v>17</v>
      </c>
      <c r="C10" s="6">
        <v>4044260.61</v>
      </c>
      <c r="D10" s="6">
        <v>217827.45</v>
      </c>
      <c r="E10" s="6"/>
      <c r="F10" s="6"/>
      <c r="G10" s="6"/>
      <c r="H10" s="6">
        <f>SUM(C10+D10-E10+F10)</f>
        <v>4262088.06</v>
      </c>
      <c r="I10" s="6">
        <f>H10</f>
        <v>4262088.06</v>
      </c>
      <c r="J10" s="7"/>
      <c r="K10" t="s">
        <v>82</v>
      </c>
    </row>
    <row r="11" spans="2:11" ht="19.5" customHeight="1">
      <c r="B11" s="19" t="s">
        <v>18</v>
      </c>
      <c r="C11" s="6">
        <v>17695760.86</v>
      </c>
      <c r="D11" s="6">
        <v>841448.96</v>
      </c>
      <c r="E11" s="6"/>
      <c r="F11" s="6"/>
      <c r="G11" s="6"/>
      <c r="H11" s="6">
        <f>SUM(C11+D11-E11+F11)</f>
        <v>18537209.82</v>
      </c>
      <c r="I11" s="6">
        <f>H11</f>
        <v>18537209.82</v>
      </c>
      <c r="J11" s="7"/>
      <c r="K11" t="s">
        <v>82</v>
      </c>
    </row>
    <row r="12" spans="2:11" ht="19.5" customHeight="1">
      <c r="B12" s="5" t="s">
        <v>87</v>
      </c>
      <c r="C12" s="6">
        <v>1850625139.26</v>
      </c>
      <c r="D12" s="6">
        <v>11914407.6</v>
      </c>
      <c r="E12" s="6">
        <f>13196456.63+1810369712.4+38973377.83</f>
        <v>1862539546.8600001</v>
      </c>
      <c r="F12" s="6"/>
      <c r="G12" s="6"/>
      <c r="H12" s="6">
        <f>SUM(C12+D12-E12+F12)</f>
        <v>-2.384185791015625E-07</v>
      </c>
      <c r="I12" s="6" t="s">
        <v>27</v>
      </c>
      <c r="J12" s="42" t="s">
        <v>27</v>
      </c>
      <c r="K12" s="78" t="s">
        <v>82</v>
      </c>
    </row>
    <row r="13" spans="1:11" ht="19.5" customHeight="1">
      <c r="A13" s="41">
        <v>151</v>
      </c>
      <c r="B13" s="5" t="s">
        <v>19</v>
      </c>
      <c r="C13" s="6">
        <v>3435703.05</v>
      </c>
      <c r="D13" s="6">
        <v>202624</v>
      </c>
      <c r="E13" s="6">
        <v>0</v>
      </c>
      <c r="F13" s="6"/>
      <c r="G13" s="6"/>
      <c r="H13" s="6">
        <f>SUM(C13+D13-E13)</f>
        <v>3638327.05</v>
      </c>
      <c r="I13" s="6">
        <f>H13</f>
        <v>3638327.05</v>
      </c>
      <c r="J13" s="42"/>
      <c r="K13" t="s">
        <v>82</v>
      </c>
    </row>
    <row r="14" spans="2:11" ht="19.5" customHeight="1">
      <c r="B14" s="5" t="s">
        <v>20</v>
      </c>
      <c r="C14" s="6">
        <v>68598467.97</v>
      </c>
      <c r="D14" s="6">
        <f>159463288.25+109.16-2893.98+3634454</f>
        <v>163094957.43</v>
      </c>
      <c r="E14" s="6">
        <f>156445412.66+636488.4-1298522.93+1661.6+235069.53</f>
        <v>156020109.26</v>
      </c>
      <c r="F14" s="6"/>
      <c r="G14" s="6"/>
      <c r="H14" s="6">
        <f>SUM(C14+D14-E14+F14)</f>
        <v>75673316.14000002</v>
      </c>
      <c r="I14" s="6">
        <v>65993819</v>
      </c>
      <c r="J14" s="42">
        <f t="shared" si="0"/>
        <v>9679497.140000015</v>
      </c>
      <c r="K14" s="7" t="s">
        <v>83</v>
      </c>
    </row>
    <row r="15" spans="1:11" ht="19.5" customHeight="1">
      <c r="A15" s="37" t="s">
        <v>27</v>
      </c>
      <c r="B15" s="5" t="s">
        <v>21</v>
      </c>
      <c r="C15" s="6">
        <f>6698210.25</f>
        <v>6698210.25</v>
      </c>
      <c r="D15" s="6">
        <f>3611299.84-900000</f>
        <v>2711299.84</v>
      </c>
      <c r="E15" s="6">
        <f>1276075.41+12812.42</f>
        <v>1288887.8299999998</v>
      </c>
      <c r="F15" s="6"/>
      <c r="G15" s="6"/>
      <c r="H15" s="6">
        <f>SUM(C15+D15-E15+F15)</f>
        <v>8120622.26</v>
      </c>
      <c r="I15" s="6">
        <v>6880000</v>
      </c>
      <c r="J15" s="7">
        <f t="shared" si="0"/>
        <v>1240622.2599999998</v>
      </c>
      <c r="K15" s="7" t="s">
        <v>82</v>
      </c>
    </row>
    <row r="16" spans="2:10" ht="19.5" customHeight="1">
      <c r="B16" s="8" t="s">
        <v>22</v>
      </c>
      <c r="C16" s="9">
        <f>SUM(C8:C15)</f>
        <v>1962134932.93</v>
      </c>
      <c r="D16" s="9">
        <f>SUM(D8:D15)</f>
        <v>182780307.61</v>
      </c>
      <c r="E16" s="9">
        <f aca="true" t="shared" si="1" ref="E16:J16">SUM(E8:E15)</f>
        <v>2024421279.6100001</v>
      </c>
      <c r="F16" s="9">
        <f t="shared" si="1"/>
        <v>0</v>
      </c>
      <c r="G16" s="9">
        <f t="shared" si="1"/>
        <v>0</v>
      </c>
      <c r="H16" s="9">
        <f t="shared" si="1"/>
        <v>120493960.92999978</v>
      </c>
      <c r="I16" s="9">
        <f t="shared" si="1"/>
        <v>99731618.37</v>
      </c>
      <c r="J16" s="29">
        <f t="shared" si="1"/>
        <v>20762342.560000017</v>
      </c>
    </row>
    <row r="17" spans="2:10" ht="19.5" customHeight="1">
      <c r="B17" s="33" t="s">
        <v>84</v>
      </c>
      <c r="C17" s="32">
        <v>25961442382.49</v>
      </c>
      <c r="D17" s="32"/>
      <c r="E17" s="32"/>
      <c r="F17" s="32"/>
      <c r="G17" s="32"/>
      <c r="H17" s="32">
        <f>I17+J17</f>
        <v>30366908179.14</v>
      </c>
      <c r="I17" s="32">
        <v>28987201734</v>
      </c>
      <c r="J17" s="64">
        <v>1379706445.14</v>
      </c>
    </row>
    <row r="18" spans="2:10" ht="19.5" customHeight="1">
      <c r="B18" s="34"/>
      <c r="C18" s="35"/>
      <c r="D18" s="35" t="s">
        <v>27</v>
      </c>
      <c r="E18" s="35"/>
      <c r="F18" s="35"/>
      <c r="G18" s="35"/>
      <c r="H18" s="35"/>
      <c r="I18" s="35" t="s">
        <v>27</v>
      </c>
      <c r="J18" s="7"/>
    </row>
    <row r="19" spans="2:10" ht="18">
      <c r="B19" s="2"/>
      <c r="C19" s="10"/>
      <c r="D19" s="10" t="s">
        <v>27</v>
      </c>
      <c r="E19" s="10"/>
      <c r="F19" s="10"/>
      <c r="G19" s="10"/>
      <c r="H19" s="65"/>
      <c r="I19" s="10"/>
      <c r="J19" s="10"/>
    </row>
    <row r="20" spans="1:10" ht="12.75">
      <c r="A20" t="s">
        <v>27</v>
      </c>
      <c r="B20" s="16" t="s">
        <v>86</v>
      </c>
      <c r="C20" s="17"/>
      <c r="D20" s="17"/>
      <c r="E20" s="17"/>
      <c r="F20" s="7"/>
      <c r="G20" s="7"/>
      <c r="H20" s="7"/>
      <c r="I20" s="7"/>
      <c r="J20" s="7"/>
    </row>
    <row r="21" spans="2:7" ht="12.75">
      <c r="B21" s="16" t="s">
        <v>85</v>
      </c>
      <c r="C21" s="18"/>
      <c r="D21" s="18"/>
      <c r="E21" s="18"/>
      <c r="F21" s="18"/>
      <c r="G21" s="18"/>
    </row>
    <row r="22" spans="2:7" ht="12.75">
      <c r="B22" s="16"/>
      <c r="C22" s="18"/>
      <c r="D22" s="18"/>
      <c r="E22" s="18"/>
      <c r="F22" s="18"/>
      <c r="G22" s="18"/>
    </row>
    <row r="23" spans="6:7" ht="12.75">
      <c r="F23" s="18"/>
      <c r="G23" s="18"/>
    </row>
    <row r="25" spans="9:10" ht="19.5" customHeight="1">
      <c r="I25" s="80" t="s">
        <v>23</v>
      </c>
      <c r="J25" s="14"/>
    </row>
    <row r="26" spans="2:10" ht="15.75">
      <c r="B26" s="36" t="s">
        <v>89</v>
      </c>
      <c r="I26" s="79" t="s">
        <v>28</v>
      </c>
      <c r="J26" s="12"/>
    </row>
  </sheetData>
  <printOptions/>
  <pageMargins left="0.5511811023622047" right="0.5905511811023623" top="0.81" bottom="0.7086614173228347" header="0.7480314960629921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.</cp:lastModifiedBy>
  <cp:lastPrinted>2004-10-28T11:03:13Z</cp:lastPrinted>
  <dcterms:created xsi:type="dcterms:W3CDTF">1997-09-17T10:42:28Z</dcterms:created>
  <dcterms:modified xsi:type="dcterms:W3CDTF">2004-10-29T09:56:34Z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31500.0000000000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